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https://d.docs.live.net/923cb4655108cfc8/AAA -ONEDRIVE DOCUMENTS/NN Portfolio/"/>
    </mc:Choice>
  </mc:AlternateContent>
  <xr:revisionPtr revIDLastSave="0" documentId="8_{E4A583CF-E6CC-4786-8FDB-EAB282A876E2}" xr6:coauthVersionLast="43" xr6:coauthVersionMax="43" xr10:uidLastSave="{00000000-0000-0000-0000-000000000000}"/>
  <workbookProtection workbookPassword="8ED6" lockStructure="1"/>
  <bookViews>
    <workbookView showSheetTabs="0" xWindow="-108" yWindow="-108" windowWidth="23256" windowHeight="12576" activeTab="1" xr2:uid="{00000000-000D-0000-FFFF-FFFF00000000}"/>
  </bookViews>
  <sheets>
    <sheet name="pensioen" sheetId="1" r:id="rId1"/>
    <sheet name="parameters" sheetId="3" r:id="rId2"/>
    <sheet name="data" sheetId="2" state="hidden" r:id="rId3"/>
  </sheets>
  <definedNames>
    <definedName name="_xlnm.Print_Area" localSheetId="0">pensioen!$A$1:$K$110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2" i="1" l="1"/>
  <c r="I28" i="1"/>
  <c r="I26" i="1"/>
  <c r="I24" i="1"/>
  <c r="I22" i="1"/>
  <c r="Q2" i="2"/>
  <c r="U2" i="2"/>
  <c r="B100" i="1" l="1"/>
  <c r="B99" i="1"/>
  <c r="B98" i="1"/>
  <c r="B52" i="1"/>
  <c r="B48" i="1"/>
  <c r="H42" i="1"/>
  <c r="F42" i="1"/>
  <c r="B31" i="1"/>
  <c r="F24" i="1"/>
  <c r="F21" i="1"/>
  <c r="C4" i="3" l="1"/>
  <c r="B107" i="1" s="1"/>
  <c r="B12" i="3"/>
  <c r="B10" i="3"/>
  <c r="B8" i="3"/>
  <c r="B6" i="3"/>
  <c r="B4" i="3"/>
  <c r="B1" i="3"/>
  <c r="B33" i="1"/>
  <c r="B43" i="1"/>
  <c r="A2" i="2"/>
  <c r="L6" i="2" s="1"/>
  <c r="B96" i="1" s="1"/>
  <c r="B19" i="1"/>
  <c r="BD1" i="2" l="1"/>
  <c r="L3" i="2"/>
  <c r="B108" i="1" s="1"/>
  <c r="L4" i="2"/>
  <c r="B109" i="1" s="1"/>
  <c r="L5" i="2"/>
  <c r="B110" i="1" s="1"/>
  <c r="BC1" i="2"/>
  <c r="B103" i="1"/>
  <c r="B101" i="1"/>
  <c r="B77" i="1" l="1"/>
  <c r="B58" i="1"/>
  <c r="F1" i="3"/>
  <c r="M3" i="1"/>
  <c r="M5" i="1"/>
  <c r="N5" i="1"/>
  <c r="A16" i="1"/>
  <c r="B51" i="1" l="1"/>
  <c r="B53" i="1"/>
  <c r="D42" i="1"/>
  <c r="B42" i="1"/>
  <c r="B40" i="1"/>
  <c r="B37" i="1"/>
  <c r="E33" i="1"/>
  <c r="H33" i="1"/>
  <c r="F27" i="1"/>
  <c r="B27" i="1"/>
  <c r="B24" i="1"/>
  <c r="I21" i="1"/>
  <c r="B21" i="1"/>
  <c r="O2" i="2" l="1"/>
  <c r="F51" i="1" l="1"/>
  <c r="AM14" i="2"/>
  <c r="AI12" i="1"/>
  <c r="AM10" i="2"/>
  <c r="AI7" i="2" l="1"/>
  <c r="AJ7" i="2" s="1"/>
  <c r="AI8" i="2"/>
  <c r="AJ8" i="2" l="1"/>
  <c r="AJ2" i="2"/>
  <c r="AJ3" i="2" s="1"/>
  <c r="AP2" i="2"/>
  <c r="AI6" i="2"/>
  <c r="AP6" i="2"/>
  <c r="AI2" i="2"/>
  <c r="AI3" i="2" s="1"/>
  <c r="AP5" i="2"/>
  <c r="AQ5" i="2" s="1"/>
  <c r="AE2" i="2"/>
  <c r="AD10" i="2"/>
  <c r="AD9" i="2"/>
  <c r="AD8" i="2"/>
  <c r="AD7" i="2"/>
  <c r="AC11" i="2"/>
  <c r="AC10" i="2"/>
  <c r="AC9" i="2"/>
  <c r="AC8" i="2"/>
  <c r="AC7" i="2"/>
  <c r="AC6" i="2"/>
  <c r="AC5" i="2"/>
  <c r="AC4" i="2"/>
  <c r="AB11" i="2"/>
  <c r="AB10" i="2"/>
  <c r="AB9" i="2"/>
  <c r="AB8" i="2"/>
  <c r="AB7" i="2"/>
  <c r="AB6" i="2"/>
  <c r="AB5" i="2"/>
  <c r="AB4" i="2"/>
  <c r="AR6" i="2" l="1"/>
  <c r="AS6" i="2" s="1"/>
  <c r="AR5" i="2"/>
  <c r="AS5" i="2" s="1"/>
  <c r="AI4" i="2"/>
  <c r="E35" i="1" s="1"/>
  <c r="AQ6" i="2"/>
  <c r="AJ6" i="2"/>
  <c r="AJ4" i="2"/>
  <c r="AJ5" i="2" s="1"/>
  <c r="AI9" i="2"/>
  <c r="AJ9" i="2" s="1"/>
  <c r="AF2" i="2"/>
  <c r="AF3" i="2"/>
  <c r="AI5" i="2" l="1"/>
  <c r="AI10" i="2" s="1"/>
  <c r="AI11" i="2" s="1"/>
  <c r="AQ2" i="2"/>
  <c r="AJ10" i="2"/>
  <c r="AJ11" i="2" s="1"/>
  <c r="AR2" i="2"/>
  <c r="AS2" i="2" s="1"/>
  <c r="BB8" i="2" l="1"/>
  <c r="BB4" i="2"/>
  <c r="BB3" i="2"/>
  <c r="BB2" i="2"/>
  <c r="AZ2" i="2" l="1"/>
  <c r="AZ4" i="2" s="1"/>
  <c r="AX2" i="2"/>
  <c r="AX4" i="2" s="1"/>
  <c r="B35" i="1"/>
  <c r="H4" i="2"/>
  <c r="H3" i="2"/>
  <c r="AI12" i="2" s="1"/>
  <c r="D4" i="2"/>
  <c r="D3" i="2"/>
  <c r="B49" i="1" l="1"/>
  <c r="BB7" i="2" s="1"/>
  <c r="B50" i="1"/>
  <c r="B106" i="1"/>
  <c r="B105" i="1"/>
  <c r="B104" i="1"/>
  <c r="B45" i="1"/>
  <c r="BB5" i="2" s="1"/>
  <c r="B47" i="1"/>
  <c r="BB6" i="2" s="1"/>
  <c r="B46" i="1"/>
  <c r="AM13" i="2"/>
  <c r="AM11" i="2"/>
  <c r="AM12" i="2"/>
  <c r="AI13" i="2"/>
  <c r="AJ12" i="2"/>
  <c r="AJ13" i="2" s="1"/>
  <c r="BD3" i="2"/>
  <c r="BC2" i="2"/>
  <c r="AI14" i="2" l="1"/>
  <c r="AP3" i="2" s="1"/>
  <c r="AJ14" i="2"/>
  <c r="AP4" i="2" s="1"/>
  <c r="AQ4" i="2" s="1"/>
  <c r="H35" i="1"/>
  <c r="H37" i="1" s="1"/>
  <c r="AQ3" i="2" l="1"/>
  <c r="AR3" i="2"/>
  <c r="AS3" i="2" s="1"/>
  <c r="AR4" i="2"/>
  <c r="AS4" i="2" s="1"/>
  <c r="AS10" i="2"/>
  <c r="AR10" i="2" l="1"/>
  <c r="H43" i="1"/>
  <c r="L43" i="1" s="1"/>
  <c r="BD4" i="2" s="1"/>
  <c r="AS11" i="2"/>
  <c r="H45" i="1" s="1"/>
  <c r="AP10" i="2" l="1"/>
  <c r="L45" i="1"/>
  <c r="BD5" i="2" s="1"/>
  <c r="AS12" i="2"/>
  <c r="AR11" i="2"/>
  <c r="D43" i="1" l="1"/>
  <c r="AQ10" i="2"/>
  <c r="F43" i="1" s="1"/>
  <c r="AS13" i="2"/>
  <c r="AS14" i="2" s="1"/>
  <c r="H47" i="1"/>
  <c r="AP11" i="2"/>
  <c r="AQ11" i="2" s="1"/>
  <c r="AR12" i="2"/>
  <c r="AT10" i="2" l="1"/>
  <c r="AR14" i="2"/>
  <c r="AP14" i="2" s="1"/>
  <c r="H51" i="1"/>
  <c r="L51" i="1" s="1"/>
  <c r="BD8" i="2" s="1"/>
  <c r="F45" i="1"/>
  <c r="D45" i="1"/>
  <c r="L47" i="1"/>
  <c r="BD6" i="2" s="1"/>
  <c r="AR13" i="2"/>
  <c r="AP13" i="2" s="1"/>
  <c r="AQ13" i="2" s="1"/>
  <c r="H49" i="1"/>
  <c r="L49" i="1" s="1"/>
  <c r="BD7" i="2" s="1"/>
  <c r="AP12" i="2"/>
  <c r="AT11" i="2" l="1"/>
  <c r="H53" i="1"/>
  <c r="AQ12" i="2"/>
  <c r="F47" i="1" s="1"/>
  <c r="D47" i="1"/>
  <c r="F49" i="1"/>
  <c r="D49" i="1"/>
  <c r="AP7" i="2"/>
  <c r="D51" i="1"/>
  <c r="AT14" i="2"/>
  <c r="AR7" i="2" l="1"/>
  <c r="AS7" i="2" s="1"/>
  <c r="F53" i="1"/>
  <c r="D53" i="1"/>
  <c r="AT13" i="2"/>
  <c r="AT12" i="2"/>
  <c r="B55" i="1" l="1"/>
  <c r="B56" i="1"/>
</calcChain>
</file>

<file path=xl/sharedStrings.xml><?xml version="1.0" encoding="utf-8"?>
<sst xmlns="http://schemas.openxmlformats.org/spreadsheetml/2006/main" count="97" uniqueCount="81">
  <si>
    <t>Pensioenleeftijd</t>
  </si>
  <si>
    <t>Statuut</t>
  </si>
  <si>
    <t>Zelfstandige zonder vennootschap</t>
  </si>
  <si>
    <t>Zelfstandige met vennootschap</t>
  </si>
  <si>
    <t>Taal</t>
  </si>
  <si>
    <t>NL</t>
  </si>
  <si>
    <t>FR</t>
  </si>
  <si>
    <t>Indépendant sans société</t>
  </si>
  <si>
    <t>Indépendant dans société</t>
  </si>
  <si>
    <t>Result</t>
  </si>
  <si>
    <t>Burgerlijke staat</t>
  </si>
  <si>
    <t>Alleenstaand</t>
  </si>
  <si>
    <t>Isolé</t>
  </si>
  <si>
    <t>Gehuwd/Samenwonend</t>
  </si>
  <si>
    <t>Marié/Cohabitant</t>
  </si>
  <si>
    <t>Pensioenplafond</t>
  </si>
  <si>
    <t>-</t>
  </si>
  <si>
    <t>=</t>
  </si>
  <si>
    <t>Jaar rendement</t>
  </si>
  <si>
    <t>Maand rendement</t>
  </si>
  <si>
    <t>Jaar inflatie</t>
  </si>
  <si>
    <t>Maandinflatie</t>
  </si>
  <si>
    <t>VAPZ</t>
  </si>
  <si>
    <t>Langetermijnsparen</t>
  </si>
  <si>
    <t>Vrij sparen</t>
  </si>
  <si>
    <t>Jaarlijkse premie</t>
  </si>
  <si>
    <t>Schatting fiscaal voordeel</t>
  </si>
  <si>
    <t>Schatting 
bruto kapitaal</t>
  </si>
  <si>
    <t>Schatting 
netto kapitaal</t>
  </si>
  <si>
    <t>Rente</t>
  </si>
  <si>
    <t>jaar</t>
  </si>
  <si>
    <t>Leeftijd</t>
  </si>
  <si>
    <t>Max premie VAPZ</t>
  </si>
  <si>
    <t>Sociale bijdragen</t>
  </si>
  <si>
    <t>Belastingsschijven</t>
  </si>
  <si>
    <t>Belastingvrije som</t>
  </si>
  <si>
    <t>Gemeentebelasting</t>
  </si>
  <si>
    <t>Kost sociaal verzekeringsfonds</t>
  </si>
  <si>
    <t>Belasting</t>
  </si>
  <si>
    <t>Soc Bijdrage</t>
  </si>
  <si>
    <t>Belastingsvoordeel VAPZ</t>
  </si>
  <si>
    <t>beroepsinkomen VAPZ</t>
  </si>
  <si>
    <t>IPT</t>
  </si>
  <si>
    <t>POZ</t>
  </si>
  <si>
    <t>Pensioensparen</t>
  </si>
  <si>
    <t>Belastingschijven en schijven sociale bijdragen (voor VAPZ)</t>
  </si>
  <si>
    <t>Max pensioensparen</t>
  </si>
  <si>
    <t>Instapkost NN</t>
  </si>
  <si>
    <t>Premietaks</t>
  </si>
  <si>
    <t>80% regel IPT</t>
  </si>
  <si>
    <t>Beroepsinkomen</t>
  </si>
  <si>
    <t>80% inkomen</t>
  </si>
  <si>
    <t>Schatting wet pensioen</t>
  </si>
  <si>
    <t>Max langetermijnsparen</t>
  </si>
  <si>
    <t>Grens langetermijnsparen</t>
  </si>
  <si>
    <t>Min pensioen</t>
  </si>
  <si>
    <t>80% inkomen - wet pensioen</t>
  </si>
  <si>
    <t>Loopbaan binnen onderneming</t>
  </si>
  <si>
    <t>Loopbaan buiten onderneming</t>
  </si>
  <si>
    <t>Loopbaan</t>
  </si>
  <si>
    <t>Toepassing loopbaanbreuk</t>
  </si>
  <si>
    <t>Correctie WD</t>
  </si>
  <si>
    <t>Renteprijs</t>
  </si>
  <si>
    <t>Max kapitaal</t>
  </si>
  <si>
    <t>Max netto premie</t>
  </si>
  <si>
    <t>Herwaarderingscoëfficiënt</t>
  </si>
  <si>
    <t>80% regel POZ</t>
  </si>
  <si>
    <t>Loopbaan buiten onderneming (begrensd)</t>
  </si>
  <si>
    <t>MAX plan</t>
  </si>
  <si>
    <t>REAL plan</t>
  </si>
  <si>
    <t>Dit is geen contractueel document. Bijgevolg kan noch de bestemmeling noch de lezer er enig recht of voordeel uit halen. Deze gegevens worden ter informatie verstrekt. Hoewel deze informatie afkomstig is uit betrouwbare kwaliteitsbronnen, kan NN Insurance Belgium de nauwkeurigheid ervan niet garanderen. NN Insurance Belgium kan niet aansprakelijk gesteld worden voor (rechtstreekse of onrechtstreekse) schade die zou voortkomen uit het gebruik van deze informatie.</t>
  </si>
  <si>
    <t xml:space="preserve">NN Insurance Belgium nv, kredietgever hypothecair krediet toegelaten door de FSMA en verzekeringsonderneming toegelaten door de NBB onder het nummer 2550 voor de Takken 1a, 2, 21, 22, 23, 25, 26. Maatschappelijke zetel: Fonsnylaan 38, B-1060 Brussel - RPR Brussel - BTW BE 0890.270.057 - BIC: BBRUBEBB - IBAN: BE28 3100 7627 4220. </t>
  </si>
  <si>
    <t>Deze simulatie geeft louter een schatting, is niet bindend, geldt niet als offerte, en veronderstelt dat de uitbetaling plaatsvindt op de wettelijke pensioenleeftijd en dat je tot die datum effectief actief blijft. De werkelijk verzekerde bedragen kunnen afwijken van deze simulatie.</t>
  </si>
  <si>
    <t>pension planner</t>
  </si>
  <si>
    <t xml:space="preserve">Le présent document n'est pas un document contractuel. Par conséquent, ni le destinataire, ni le lecteur ne peut en tirer un quelconque droit ou avantage. Ces informations sont données à titre informatif. Bien que NN Insurance Belgium détienne ces informations de sources fiables et de qualité, elle ne garantit pas l'exactitude de ces informations. NN Insurance Belgium ne peut être tenue responsable d'un quelconque dommage (direct ou indirect) qui pourrait résulter de l'utilisation de ces informations. </t>
  </si>
  <si>
    <t>NN Insurance Belgium SA, prêteur en crédit hypothécaire agréé par la FSMA et entreprise d’assurances agréée par la BNB sous le numéro 2550 pour les Branches 1a, 2, 21, 22, 23, 25, 26. Siège social : Avenue Fonsny 38, B-1060 Bruxelles - RPM Bruxelles - TVA BE 0890.270.057 - BIC : BBRUBEBB - IBAN : BE28 3100 7627 4220.</t>
  </si>
  <si>
    <t>Het ideale pensioenplan optimaliseert je fiscale voordeel, maar ook je financiële rendement. Zoek niet blindelings naar rendementsgaranties die niet eens de inflatie overschrijden. Maar investeer volgens je beleggersprofiel en -horizon. Je makelaar geeft je het beste beleggersadvies.</t>
  </si>
  <si>
    <t>Scala Free pension</t>
  </si>
  <si>
    <t>Le plan de pension idéal optimise non seulement votre avantage fiscal, mais également votre rendement financier. Ne cherchez pas aveuglément les rendements garantis qui ne dépassent même pas le taux d'inflation. Investissez selon votre profil et horizon de placement. Votre courtier vous donnera le meilleur conseil de placement.</t>
  </si>
  <si>
    <t>Cette simulation n'est qu'une pure estimation de votre capital pension et elle ne lie en aucun cas les partis, n'est pas valable en tant qu'offre et présume que les capitaux soient attribués au plus tôt à l'âge légal de la pension au bénéficiaire qui est resté 'effectivement actif' jusqu'à cet âge. Les montants réellement assurés peuvent dériver de cette simulation.</t>
  </si>
  <si>
    <t>Datum plafonds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</si>
</sst>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00;[Red]&quot;€&quot;\ \-#,##0.00"/>
    <numFmt numFmtId="165" formatCode="_ &quot;€&quot;\ * #,##0.00_ ;_ &quot;€&quot;\ * \-#,##0.00_ ;_ &quot;€&quot;\ * &quot;-&quot;??_ ;_ @_ "/>
    <numFmt numFmtId="166" formatCode="_ [$€-813]\ * #,##0.00_ ;_ [$€-813]\ * \-#,##0.00_ ;_ [$€-813]\ * &quot;-&quot;??_ ;_ @_ "/>
    <numFmt numFmtId="167" formatCode="_ [$€-813]\ * #,##0_ ;_ [$€-813]\ * \-#,##0_ ;_ [$€-813]\ * &quot;-&quot;??_ ;_ @_ "/>
    <numFmt numFmtId="168" formatCode="0.000000"/>
    <numFmt numFmtId="169"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20"/>
      <color rgb="FFEA650D"/>
      <name val="Calibri"/>
      <family val="2"/>
      <scheme val="minor"/>
    </font>
    <font>
      <sz val="11"/>
      <color rgb="FF000000"/>
      <name val="Calibri"/>
      <family val="2"/>
      <scheme val="minor"/>
    </font>
    <font>
      <i/>
      <sz val="10"/>
      <color theme="1"/>
      <name val="Calibri"/>
      <family val="2"/>
      <scheme val="minor"/>
    </font>
    <font>
      <sz val="11"/>
      <color theme="0"/>
      <name val="Calibri"/>
      <family val="2"/>
      <scheme val="minor"/>
    </font>
    <font>
      <sz val="11"/>
      <color theme="0" tint="-0.499984740745262"/>
      <name val="Calibri"/>
      <family val="2"/>
      <scheme val="minor"/>
    </font>
    <font>
      <sz val="11"/>
      <name val="Calibri"/>
      <family val="2"/>
      <scheme val="minor"/>
    </font>
    <font>
      <sz val="10"/>
      <name val="Arial"/>
      <family val="2"/>
    </font>
    <font>
      <sz val="10"/>
      <color indexed="10"/>
      <name val="Arial"/>
      <family val="2"/>
    </font>
    <font>
      <sz val="8"/>
      <name val="Arial"/>
      <family val="2"/>
    </font>
    <font>
      <b/>
      <sz val="11"/>
      <color theme="1"/>
      <name val="Calibri"/>
      <family val="2"/>
      <scheme val="minor"/>
    </font>
    <font>
      <sz val="9"/>
      <color theme="0"/>
      <name val="Calibri"/>
      <family val="2"/>
      <scheme val="minor"/>
    </font>
    <font>
      <sz val="9"/>
      <color theme="0" tint="-0.499984740745262"/>
      <name val="Calibri"/>
      <family val="2"/>
      <scheme val="minor"/>
    </font>
    <font>
      <sz val="8"/>
      <color theme="1"/>
      <name val="Calibri"/>
      <family val="2"/>
      <scheme val="minor"/>
    </font>
    <font>
      <sz val="8"/>
      <name val="Calibri"/>
      <family val="2"/>
      <scheme val="minor"/>
    </font>
    <font>
      <u/>
      <sz val="11"/>
      <color theme="10"/>
      <name val="Calibri"/>
      <family val="2"/>
      <scheme val="minor"/>
    </font>
    <font>
      <u/>
      <sz val="9"/>
      <color theme="10"/>
      <name val="Calibri"/>
      <family val="2"/>
      <scheme val="minor"/>
    </font>
    <font>
      <sz val="11"/>
      <color rgb="FFEA650D"/>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EA650D"/>
        <bgColor indexed="64"/>
      </patternFill>
    </fill>
  </fills>
  <borders count="8">
    <border>
      <left/>
      <right/>
      <top/>
      <bottom/>
      <diagonal/>
    </border>
    <border>
      <left style="thin">
        <color rgb="FFEA650D"/>
      </left>
      <right/>
      <top style="thin">
        <color rgb="FFEA650D"/>
      </top>
      <bottom style="thin">
        <color rgb="FFEA650D"/>
      </bottom>
      <diagonal/>
    </border>
    <border>
      <left/>
      <right style="thin">
        <color rgb="FFEA650D"/>
      </right>
      <top style="thin">
        <color rgb="FFEA650D"/>
      </top>
      <bottom style="thin">
        <color rgb="FFEA650D"/>
      </bottom>
      <diagonal/>
    </border>
    <border>
      <left/>
      <right/>
      <top style="thin">
        <color rgb="FFEA650D"/>
      </top>
      <bottom style="thin">
        <color rgb="FFEA650D"/>
      </bottom>
      <diagonal/>
    </border>
    <border>
      <left/>
      <right/>
      <top/>
      <bottom style="thin">
        <color rgb="FFEA650D"/>
      </bottom>
      <diagonal/>
    </border>
    <border>
      <left/>
      <right/>
      <top style="thin">
        <color rgb="FFEA650D"/>
      </top>
      <bottom style="double">
        <color rgb="FFEA650D"/>
      </bottom>
      <diagonal/>
    </border>
    <border>
      <left/>
      <right/>
      <top style="double">
        <color rgb="FFEA650D"/>
      </top>
      <bottom/>
      <diagonal/>
    </border>
    <border>
      <left/>
      <right/>
      <top style="thin">
        <color rgb="FFEA650D"/>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cellStyleXfs>
  <cellXfs count="70">
    <xf numFmtId="0" fontId="0" fillId="0" borderId="0" xfId="0"/>
    <xf numFmtId="0" fontId="3" fillId="0" borderId="0" xfId="0" applyFont="1"/>
    <xf numFmtId="0" fontId="0" fillId="4" borderId="0" xfId="0" applyFill="1"/>
    <xf numFmtId="0" fontId="0" fillId="0" borderId="0" xfId="0" quotePrefix="1" applyAlignment="1">
      <alignment horizontal="center"/>
    </xf>
    <xf numFmtId="0" fontId="4" fillId="0" borderId="0" xfId="0" applyFont="1"/>
    <xf numFmtId="9" fontId="0" fillId="0" borderId="0" xfId="0" applyNumberFormat="1"/>
    <xf numFmtId="0" fontId="0" fillId="0" borderId="0" xfId="0" applyAlignment="1">
      <alignment wrapText="1"/>
    </xf>
    <xf numFmtId="0" fontId="5" fillId="0" borderId="0" xfId="0" applyFont="1"/>
    <xf numFmtId="165" fontId="0" fillId="0" borderId="0" xfId="1" applyFont="1"/>
    <xf numFmtId="0" fontId="2" fillId="5" borderId="0" xfId="0" applyFont="1" applyFill="1"/>
    <xf numFmtId="0" fontId="0" fillId="0" borderId="6" xfId="0" applyBorder="1" applyAlignment="1">
      <alignment wrapText="1"/>
    </xf>
    <xf numFmtId="0" fontId="0" fillId="0" borderId="6" xfId="0" applyBorder="1"/>
    <xf numFmtId="0" fontId="5" fillId="0" borderId="4" xfId="0" applyFont="1" applyBorder="1"/>
    <xf numFmtId="0" fontId="0" fillId="0" borderId="4" xfId="0" applyBorder="1"/>
    <xf numFmtId="0" fontId="0" fillId="0" borderId="7" xfId="0" applyBorder="1"/>
    <xf numFmtId="166" fontId="7" fillId="0" borderId="0" xfId="0" applyNumberFormat="1" applyFont="1"/>
    <xf numFmtId="167" fontId="0" fillId="0" borderId="0" xfId="0" applyNumberFormat="1"/>
    <xf numFmtId="0" fontId="6" fillId="0" borderId="0" xfId="0" applyFont="1" applyAlignment="1">
      <alignment horizontal="center" vertical="center"/>
    </xf>
    <xf numFmtId="168" fontId="0" fillId="0" borderId="0" xfId="0" applyNumberFormat="1"/>
    <xf numFmtId="164" fontId="0" fillId="0" borderId="0" xfId="0" applyNumberFormat="1"/>
    <xf numFmtId="169" fontId="0" fillId="4" borderId="0" xfId="2" applyNumberFormat="1" applyFont="1" applyFill="1"/>
    <xf numFmtId="10" fontId="0" fillId="0" borderId="0" xfId="0" applyNumberFormat="1"/>
    <xf numFmtId="4" fontId="0" fillId="0" borderId="0" xfId="0" applyNumberFormat="1"/>
    <xf numFmtId="4" fontId="10" fillId="0" borderId="0" xfId="0" applyNumberFormat="1" applyFont="1"/>
    <xf numFmtId="4" fontId="9" fillId="0" borderId="0" xfId="0" applyNumberFormat="1" applyFont="1"/>
    <xf numFmtId="0" fontId="9" fillId="0" borderId="0" xfId="0" applyFont="1"/>
    <xf numFmtId="0" fontId="0" fillId="0" borderId="0" xfId="0" applyAlignment="1">
      <alignment horizontal="left"/>
    </xf>
    <xf numFmtId="0" fontId="0" fillId="0" borderId="0" xfId="0" applyAlignment="1">
      <alignment vertical="center" wrapText="1"/>
    </xf>
    <xf numFmtId="0" fontId="11" fillId="0" borderId="0" xfId="0" applyFont="1" applyAlignment="1" applyProtection="1">
      <alignment horizontal="center"/>
      <protection locked="0"/>
    </xf>
    <xf numFmtId="0" fontId="11" fillId="0" borderId="0" xfId="0" applyFont="1" applyProtection="1">
      <protection locked="0"/>
    </xf>
    <xf numFmtId="0" fontId="8" fillId="0" borderId="0" xfId="0" applyFont="1"/>
    <xf numFmtId="0" fontId="0" fillId="4" borderId="0" xfId="2" applyNumberFormat="1" applyFont="1" applyFill="1"/>
    <xf numFmtId="0" fontId="0" fillId="2" borderId="1" xfId="0" applyFill="1" applyBorder="1" applyAlignment="1">
      <alignment horizontal="left"/>
    </xf>
    <xf numFmtId="0" fontId="12" fillId="0" borderId="0" xfId="0" applyFont="1"/>
    <xf numFmtId="0" fontId="14" fillId="0" borderId="0" xfId="0" applyFont="1" applyAlignment="1">
      <alignment horizontal="center"/>
    </xf>
    <xf numFmtId="0" fontId="15" fillId="0" borderId="0" xfId="0" applyFont="1"/>
    <xf numFmtId="0" fontId="16" fillId="0" borderId="0" xfId="0" applyFont="1"/>
    <xf numFmtId="0" fontId="18" fillId="0" borderId="0" xfId="3" applyFont="1" applyProtection="1">
      <protection locked="0"/>
    </xf>
    <xf numFmtId="0" fontId="13" fillId="5" borderId="2" xfId="0" applyFont="1" applyFill="1" applyBorder="1" applyAlignment="1" applyProtection="1">
      <alignment horizontal="center"/>
      <protection locked="0"/>
    </xf>
    <xf numFmtId="0" fontId="19" fillId="0" borderId="0" xfId="0" applyFont="1" applyAlignment="1">
      <alignment wrapText="1"/>
    </xf>
    <xf numFmtId="10" fontId="0" fillId="4" borderId="0" xfId="2" applyNumberFormat="1" applyFont="1" applyFill="1"/>
    <xf numFmtId="14" fontId="0" fillId="4" borderId="0" xfId="0" applyNumberFormat="1" applyFill="1"/>
    <xf numFmtId="166" fontId="0" fillId="3" borderId="3" xfId="1" applyNumberFormat="1" applyFont="1" applyFill="1" applyBorder="1" applyAlignment="1" applyProtection="1">
      <alignment horizontal="left"/>
      <protection locked="0"/>
    </xf>
    <xf numFmtId="166" fontId="0" fillId="3" borderId="2" xfId="1" applyNumberFormat="1" applyFont="1" applyFill="1" applyBorder="1" applyAlignment="1" applyProtection="1">
      <alignment horizontal="left"/>
      <protection locked="0"/>
    </xf>
    <xf numFmtId="166" fontId="0" fillId="3" borderId="3" xfId="0" applyNumberFormat="1" applyFill="1" applyBorder="1" applyAlignment="1" applyProtection="1">
      <alignment horizontal="left"/>
      <protection locked="0"/>
    </xf>
    <xf numFmtId="166" fontId="0" fillId="3" borderId="2" xfId="0" applyNumberFormat="1" applyFill="1" applyBorder="1" applyAlignment="1" applyProtection="1">
      <alignment horizontal="left"/>
      <protection locked="0"/>
    </xf>
    <xf numFmtId="166" fontId="0" fillId="0" borderId="1" xfId="0" applyNumberFormat="1" applyBorder="1" applyAlignment="1">
      <alignment horizontal="left"/>
    </xf>
    <xf numFmtId="166" fontId="0" fillId="0" borderId="2" xfId="0" applyNumberFormat="1" applyBorder="1" applyAlignment="1">
      <alignment horizontal="left"/>
    </xf>
    <xf numFmtId="0" fontId="0" fillId="0" borderId="0" xfId="0" applyAlignment="1">
      <alignment horizontal="left" wrapText="1"/>
    </xf>
    <xf numFmtId="0" fontId="0" fillId="0" borderId="4" xfId="0" applyBorder="1" applyAlignment="1">
      <alignment horizontal="left" wrapText="1"/>
    </xf>
    <xf numFmtId="14" fontId="0" fillId="3" borderId="1" xfId="0" applyNumberFormat="1" applyFill="1" applyBorder="1" applyAlignment="1" applyProtection="1">
      <alignment horizontal="left"/>
      <protection locked="0"/>
    </xf>
    <xf numFmtId="14" fontId="0" fillId="3" borderId="2" xfId="0" applyNumberFormat="1"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166" fontId="2" fillId="5" borderId="1" xfId="0" applyNumberFormat="1" applyFont="1" applyFill="1" applyBorder="1" applyAlignment="1">
      <alignment horizontal="left"/>
    </xf>
    <xf numFmtId="166" fontId="2" fillId="5" borderId="2" xfId="0" applyNumberFormat="1" applyFont="1" applyFill="1" applyBorder="1" applyAlignment="1">
      <alignment horizontal="left"/>
    </xf>
    <xf numFmtId="0" fontId="0" fillId="0" borderId="5" xfId="0" applyBorder="1" applyAlignment="1">
      <alignment horizontal="center" vertical="center" wrapText="1"/>
    </xf>
    <xf numFmtId="0" fontId="0" fillId="0" borderId="0" xfId="0" applyAlignment="1">
      <alignment horizontal="center" vertical="center" wrapText="1"/>
    </xf>
    <xf numFmtId="166" fontId="0" fillId="0" borderId="6" xfId="0" applyNumberFormat="1" applyBorder="1" applyAlignment="1">
      <alignment horizontal="left" vertical="center"/>
    </xf>
    <xf numFmtId="166" fontId="0" fillId="0" borderId="4" xfId="0" applyNumberFormat="1" applyBorder="1" applyAlignment="1">
      <alignment horizontal="left" vertical="center"/>
    </xf>
    <xf numFmtId="166" fontId="0" fillId="0" borderId="0" xfId="0" applyNumberFormat="1" applyAlignment="1">
      <alignment horizontal="left" vertical="center"/>
    </xf>
    <xf numFmtId="166" fontId="0" fillId="0" borderId="7" xfId="0" applyNumberFormat="1" applyBorder="1" applyAlignment="1">
      <alignment horizontal="left" vertical="center"/>
    </xf>
    <xf numFmtId="166" fontId="6" fillId="0" borderId="0" xfId="0" applyNumberFormat="1" applyFont="1" applyAlignment="1">
      <alignment horizontal="left" vertical="center"/>
    </xf>
    <xf numFmtId="0" fontId="16" fillId="0" borderId="0" xfId="0" applyFont="1" applyAlignment="1">
      <alignment horizontal="left" wrapText="1"/>
    </xf>
    <xf numFmtId="166" fontId="2" fillId="5" borderId="0" xfId="0" applyNumberFormat="1" applyFont="1" applyFill="1" applyAlignment="1">
      <alignment horizontal="left" vertical="center"/>
    </xf>
    <xf numFmtId="166" fontId="2" fillId="0" borderId="0" xfId="0" applyNumberFormat="1" applyFont="1" applyAlignment="1">
      <alignment horizontal="left" vertical="center"/>
    </xf>
    <xf numFmtId="0" fontId="19" fillId="3" borderId="0" xfId="0" applyFont="1" applyFill="1" applyAlignment="1">
      <alignment horizontal="left" vertical="center" wrapText="1"/>
    </xf>
    <xf numFmtId="10" fontId="0" fillId="3" borderId="1" xfId="0" applyNumberFormat="1" applyFill="1" applyBorder="1" applyAlignment="1" applyProtection="1">
      <alignment horizontal="left"/>
      <protection locked="0"/>
    </xf>
    <xf numFmtId="10" fontId="0" fillId="3" borderId="2" xfId="0" applyNumberFormat="1" applyFill="1" applyBorder="1" applyAlignment="1" applyProtection="1">
      <alignment horizontal="left"/>
      <protection locked="0"/>
    </xf>
  </cellXfs>
  <cellStyles count="4">
    <cellStyle name="Lien hypertexte" xfId="3" builtinId="8"/>
    <cellStyle name="Monétaire" xfId="1" builtinId="4"/>
    <cellStyle name="Normal" xfId="0" builtinId="0"/>
    <cellStyle name="Pourcentage" xfId="2" builtinId="5"/>
  </cellStyles>
  <dxfs count="0"/>
  <tableStyles count="0" defaultTableStyle="TableStyleMedium2" defaultPivotStyle="PivotStyleLight16"/>
  <colors>
    <mruColors>
      <color rgb="FFE64415"/>
      <color rgb="FFEA650D"/>
      <color rgb="FFCAC7C7"/>
      <color rgb="FF999999"/>
      <color rgb="FF666666"/>
      <color rgb="FFEAC9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00805239150927E-2"/>
          <c:y val="5.0925925925925923E-2"/>
          <c:w val="0.87746672442643703"/>
          <c:h val="0.53851671682400959"/>
        </c:manualLayout>
      </c:layout>
      <c:barChart>
        <c:barDir val="col"/>
        <c:grouping val="stacked"/>
        <c:varyColors val="0"/>
        <c:ser>
          <c:idx val="0"/>
          <c:order val="0"/>
          <c:tx>
            <c:strRef>
              <c:f>data!$BB$2</c:f>
              <c:strCache>
                <c:ptCount val="1"/>
                <c:pt idx="0">
                  <c:v>Votre revenu mensuel actuel</c:v>
                </c:pt>
              </c:strCache>
            </c:strRef>
          </c:tx>
          <c:spPr>
            <a:solidFill>
              <a:srgbClr val="EA650D"/>
            </a:solidFill>
            <a:ln>
              <a:noFill/>
            </a:ln>
            <a:effectLst/>
          </c:spPr>
          <c:invertIfNegative val="0"/>
          <c:cat>
            <c:strRef>
              <c:f>data!$BC$1:$BD$1</c:f>
              <c:strCache>
                <c:ptCount val="2"/>
                <c:pt idx="0">
                  <c:v>Votre revenu actuel</c:v>
                </c:pt>
                <c:pt idx="1">
                  <c:v>Votre revenu de retraite (2)</c:v>
                </c:pt>
              </c:strCache>
            </c:strRef>
          </c:cat>
          <c:val>
            <c:numRef>
              <c:f>data!$BC$2:$BD$2</c:f>
              <c:numCache>
                <c:formatCode>_ [$€-813]\ * #,##0_ ;_ [$€-813]\ * \-#,##0_ ;_ [$€-813]\ * "-"??_ ;_ @_ </c:formatCode>
                <c:ptCount val="2"/>
                <c:pt idx="0">
                  <c:v>3750</c:v>
                </c:pt>
                <c:pt idx="1">
                  <c:v>0</c:v>
                </c:pt>
              </c:numCache>
            </c:numRef>
          </c:val>
          <c:extLst>
            <c:ext xmlns:c16="http://schemas.microsoft.com/office/drawing/2014/chart" uri="{C3380CC4-5D6E-409C-BE32-E72D297353CC}">
              <c16:uniqueId val="{00000000-4320-47E9-AA6F-480263635C4A}"/>
            </c:ext>
          </c:extLst>
        </c:ser>
        <c:ser>
          <c:idx val="1"/>
          <c:order val="1"/>
          <c:tx>
            <c:strRef>
              <c:f>data!$BB$3</c:f>
              <c:strCache>
                <c:ptCount val="1"/>
                <c:pt idx="0">
                  <c:v>Estimation de votre pension légale (1)</c:v>
                </c:pt>
              </c:strCache>
            </c:strRef>
          </c:tx>
          <c:spPr>
            <a:solidFill>
              <a:srgbClr val="666666"/>
            </a:solidFill>
            <a:ln>
              <a:noFill/>
            </a:ln>
            <a:effectLst/>
          </c:spPr>
          <c:invertIfNegative val="0"/>
          <c:cat>
            <c:strRef>
              <c:f>data!$BC$1:$BD$1</c:f>
              <c:strCache>
                <c:ptCount val="2"/>
                <c:pt idx="0">
                  <c:v>Votre revenu actuel</c:v>
                </c:pt>
                <c:pt idx="1">
                  <c:v>Votre revenu de retraite (2)</c:v>
                </c:pt>
              </c:strCache>
            </c:strRef>
          </c:cat>
          <c:val>
            <c:numRef>
              <c:f>data!$BC$3:$BD$3</c:f>
              <c:numCache>
                <c:formatCode>_ [$€-813]\ * #,##0_ ;_ [$€-813]\ * \-#,##0_ ;_ [$€-813]\ * "-"??_ ;_ @_ </c:formatCode>
                <c:ptCount val="2"/>
                <c:pt idx="0">
                  <c:v>0</c:v>
                </c:pt>
                <c:pt idx="1">
                  <c:v>1189.8864444444444</c:v>
                </c:pt>
              </c:numCache>
            </c:numRef>
          </c:val>
          <c:extLst>
            <c:ext xmlns:c16="http://schemas.microsoft.com/office/drawing/2014/chart" uri="{C3380CC4-5D6E-409C-BE32-E72D297353CC}">
              <c16:uniqueId val="{00000001-4320-47E9-AA6F-480263635C4A}"/>
            </c:ext>
          </c:extLst>
        </c:ser>
        <c:ser>
          <c:idx val="2"/>
          <c:order val="2"/>
          <c:tx>
            <c:strRef>
              <c:f>data!$BB$4</c:f>
              <c:strCache>
                <c:ptCount val="1"/>
                <c:pt idx="0">
                  <c:v>1. PLCI</c:v>
                </c:pt>
              </c:strCache>
            </c:strRef>
          </c:tx>
          <c:spPr>
            <a:solidFill>
              <a:srgbClr val="EAC98E"/>
            </a:solidFill>
            <a:ln>
              <a:noFill/>
            </a:ln>
            <a:effectLst/>
          </c:spPr>
          <c:invertIfNegative val="0"/>
          <c:cat>
            <c:strRef>
              <c:f>data!$BC$1:$BD$1</c:f>
              <c:strCache>
                <c:ptCount val="2"/>
                <c:pt idx="0">
                  <c:v>Votre revenu actuel</c:v>
                </c:pt>
                <c:pt idx="1">
                  <c:v>Votre revenu de retraite (2)</c:v>
                </c:pt>
              </c:strCache>
            </c:strRef>
          </c:cat>
          <c:val>
            <c:numRef>
              <c:f>data!$BC$4:$BD$4</c:f>
              <c:numCache>
                <c:formatCode>_ [$€-813]\ * #,##0_ ;_ [$€-813]\ * \-#,##0_ ;_ [$€-813]\ * "-"??_ ;_ @_ </c:formatCode>
                <c:ptCount val="2"/>
                <c:pt idx="0">
                  <c:v>0</c:v>
                </c:pt>
                <c:pt idx="1">
                  <c:v>287.07485095790884</c:v>
                </c:pt>
              </c:numCache>
            </c:numRef>
          </c:val>
          <c:extLst>
            <c:ext xmlns:c16="http://schemas.microsoft.com/office/drawing/2014/chart" uri="{C3380CC4-5D6E-409C-BE32-E72D297353CC}">
              <c16:uniqueId val="{00000002-4320-47E9-AA6F-480263635C4A}"/>
            </c:ext>
          </c:extLst>
        </c:ser>
        <c:ser>
          <c:idx val="3"/>
          <c:order val="3"/>
          <c:tx>
            <c:strRef>
              <c:f>data!$BB$5</c:f>
              <c:strCache>
                <c:ptCount val="1"/>
                <c:pt idx="0">
                  <c:v>2. EIP</c:v>
                </c:pt>
              </c:strCache>
            </c:strRef>
          </c:tx>
          <c:spPr>
            <a:solidFill>
              <a:srgbClr val="999999"/>
            </a:solidFill>
            <a:ln>
              <a:noFill/>
            </a:ln>
            <a:effectLst/>
          </c:spPr>
          <c:invertIfNegative val="0"/>
          <c:cat>
            <c:strRef>
              <c:f>data!$BC$1:$BD$1</c:f>
              <c:strCache>
                <c:ptCount val="2"/>
                <c:pt idx="0">
                  <c:v>Votre revenu actuel</c:v>
                </c:pt>
                <c:pt idx="1">
                  <c:v>Votre revenu de retraite (2)</c:v>
                </c:pt>
              </c:strCache>
            </c:strRef>
          </c:cat>
          <c:val>
            <c:numRef>
              <c:f>data!$BC$5:$BD$5</c:f>
              <c:numCache>
                <c:formatCode>_ [$€-813]\ * #,##0_ ;_ [$€-813]\ * \-#,##0_ ;_ [$€-813]\ * "-"??_ ;_ @_ </c:formatCode>
                <c:ptCount val="2"/>
                <c:pt idx="0">
                  <c:v>0</c:v>
                </c:pt>
                <c:pt idx="1">
                  <c:v>1512.1886883129037</c:v>
                </c:pt>
              </c:numCache>
            </c:numRef>
          </c:val>
          <c:extLst>
            <c:ext xmlns:c16="http://schemas.microsoft.com/office/drawing/2014/chart" uri="{C3380CC4-5D6E-409C-BE32-E72D297353CC}">
              <c16:uniqueId val="{00000003-4320-47E9-AA6F-480263635C4A}"/>
            </c:ext>
          </c:extLst>
        </c:ser>
        <c:ser>
          <c:idx val="4"/>
          <c:order val="4"/>
          <c:tx>
            <c:strRef>
              <c:f>data!$BB$6</c:f>
              <c:strCache>
                <c:ptCount val="1"/>
                <c:pt idx="0">
                  <c:v>3. Epargne pension</c:v>
                </c:pt>
              </c:strCache>
            </c:strRef>
          </c:tx>
          <c:spPr>
            <a:solidFill>
              <a:srgbClr val="E64415"/>
            </a:solidFill>
            <a:ln>
              <a:noFill/>
            </a:ln>
            <a:effectLst/>
          </c:spPr>
          <c:invertIfNegative val="0"/>
          <c:cat>
            <c:strRef>
              <c:f>data!$BC$1:$BD$1</c:f>
              <c:strCache>
                <c:ptCount val="2"/>
                <c:pt idx="0">
                  <c:v>Votre revenu actuel</c:v>
                </c:pt>
                <c:pt idx="1">
                  <c:v>Votre revenu de retraite (2)</c:v>
                </c:pt>
              </c:strCache>
            </c:strRef>
          </c:cat>
          <c:val>
            <c:numRef>
              <c:f>data!$BC$6:$BD$6</c:f>
              <c:numCache>
                <c:formatCode>_ [$€-813]\ * #,##0_ ;_ [$€-813]\ * \-#,##0_ ;_ [$€-813]\ * "-"??_ ;_ @_ </c:formatCode>
                <c:ptCount val="2"/>
                <c:pt idx="0">
                  <c:v>0</c:v>
                </c:pt>
                <c:pt idx="1">
                  <c:v>157.73569694789202</c:v>
                </c:pt>
              </c:numCache>
            </c:numRef>
          </c:val>
          <c:extLst>
            <c:ext xmlns:c16="http://schemas.microsoft.com/office/drawing/2014/chart" uri="{C3380CC4-5D6E-409C-BE32-E72D297353CC}">
              <c16:uniqueId val="{00000004-4320-47E9-AA6F-480263635C4A}"/>
            </c:ext>
          </c:extLst>
        </c:ser>
        <c:ser>
          <c:idx val="5"/>
          <c:order val="5"/>
          <c:tx>
            <c:strRef>
              <c:f>data!$BB$7</c:f>
              <c:strCache>
                <c:ptCount val="1"/>
                <c:pt idx="0">
                  <c:v>4. Epargne long terme</c:v>
                </c:pt>
              </c:strCache>
            </c:strRef>
          </c:tx>
          <c:spPr>
            <a:solidFill>
              <a:srgbClr val="CAC7C7"/>
            </a:solidFill>
            <a:ln>
              <a:noFill/>
            </a:ln>
            <a:effectLst/>
          </c:spPr>
          <c:invertIfNegative val="0"/>
          <c:cat>
            <c:strRef>
              <c:f>data!$BC$1:$BD$1</c:f>
              <c:strCache>
                <c:ptCount val="2"/>
                <c:pt idx="0">
                  <c:v>Votre revenu actuel</c:v>
                </c:pt>
                <c:pt idx="1">
                  <c:v>Votre revenu de retraite (2)</c:v>
                </c:pt>
              </c:strCache>
            </c:strRef>
          </c:cat>
          <c:val>
            <c:numRef>
              <c:f>data!$BC$7:$BD$7</c:f>
              <c:numCache>
                <c:formatCode>_ [$€-813]\ * #,##0_ ;_ [$€-813]\ * \-#,##0_ ;_ [$€-813]\ * "-"??_ ;_ @_ </c:formatCode>
                <c:ptCount val="2"/>
                <c:pt idx="0">
                  <c:v>0</c:v>
                </c:pt>
                <c:pt idx="1">
                  <c:v>365.23374229920995</c:v>
                </c:pt>
              </c:numCache>
            </c:numRef>
          </c:val>
          <c:extLst>
            <c:ext xmlns:c16="http://schemas.microsoft.com/office/drawing/2014/chart" uri="{C3380CC4-5D6E-409C-BE32-E72D297353CC}">
              <c16:uniqueId val="{00000005-4320-47E9-AA6F-480263635C4A}"/>
            </c:ext>
          </c:extLst>
        </c:ser>
        <c:ser>
          <c:idx val="6"/>
          <c:order val="6"/>
          <c:tx>
            <c:strRef>
              <c:f>data!$BB$8</c:f>
              <c:strCache>
                <c:ptCount val="1"/>
                <c:pt idx="0">
                  <c:v>5. Epargne libre</c:v>
                </c:pt>
              </c:strCache>
            </c:strRef>
          </c:tx>
          <c:spPr>
            <a:solidFill>
              <a:srgbClr val="C00000"/>
            </a:solidFill>
            <a:ln>
              <a:noFill/>
            </a:ln>
            <a:effectLst/>
          </c:spPr>
          <c:invertIfNegative val="0"/>
          <c:cat>
            <c:strRef>
              <c:f>data!$BC$1:$BD$1</c:f>
              <c:strCache>
                <c:ptCount val="2"/>
                <c:pt idx="0">
                  <c:v>Votre revenu actuel</c:v>
                </c:pt>
                <c:pt idx="1">
                  <c:v>Votre revenu de retraite (2)</c:v>
                </c:pt>
              </c:strCache>
            </c:strRef>
          </c:cat>
          <c:val>
            <c:numRef>
              <c:f>data!$BC$8:$BD$8</c:f>
              <c:numCache>
                <c:formatCode>_ [$€-813]\ * #,##0_ ;_ [$€-813]\ * \-#,##0_ ;_ [$€-813]\ * "-"??_ ;_ @_ </c:formatCode>
                <c:ptCount val="2"/>
                <c:pt idx="0">
                  <c:v>0</c:v>
                </c:pt>
                <c:pt idx="1">
                  <c:v>237.88057703761521</c:v>
                </c:pt>
              </c:numCache>
            </c:numRef>
          </c:val>
          <c:extLst>
            <c:ext xmlns:c16="http://schemas.microsoft.com/office/drawing/2014/chart" uri="{C3380CC4-5D6E-409C-BE32-E72D297353CC}">
              <c16:uniqueId val="{00000006-4320-47E9-AA6F-480263635C4A}"/>
            </c:ext>
          </c:extLst>
        </c:ser>
        <c:dLbls>
          <c:showLegendKey val="0"/>
          <c:showVal val="0"/>
          <c:showCatName val="0"/>
          <c:showSerName val="0"/>
          <c:showPercent val="0"/>
          <c:showBubbleSize val="0"/>
        </c:dLbls>
        <c:gapWidth val="150"/>
        <c:overlap val="100"/>
        <c:axId val="429549264"/>
        <c:axId val="429549656"/>
      </c:barChart>
      <c:catAx>
        <c:axId val="429549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9549656"/>
        <c:crosses val="autoZero"/>
        <c:auto val="1"/>
        <c:lblAlgn val="ctr"/>
        <c:lblOffset val="100"/>
        <c:noMultiLvlLbl val="0"/>
      </c:catAx>
      <c:valAx>
        <c:axId val="429549656"/>
        <c:scaling>
          <c:orientation val="minMax"/>
        </c:scaling>
        <c:delete val="0"/>
        <c:axPos val="l"/>
        <c:majorGridlines>
          <c:spPr>
            <a:ln w="9525" cap="flat" cmpd="sng" algn="ctr">
              <a:solidFill>
                <a:schemeClr val="tx1">
                  <a:lumMod val="15000"/>
                  <a:lumOff val="85000"/>
                </a:schemeClr>
              </a:solidFill>
              <a:round/>
            </a:ln>
            <a:effectLst/>
          </c:spPr>
        </c:majorGridlines>
        <c:numFmt formatCode="_ [$€-813]\ * #,##0_ ;_ [$€-813]\ * \-#,##0_ ;_ [$€-8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9549264"/>
        <c:crosses val="autoZero"/>
        <c:crossBetween val="between"/>
      </c:valAx>
      <c:spPr>
        <a:noFill/>
        <a:ln>
          <a:noFill/>
        </a:ln>
        <a:effectLst/>
      </c:spPr>
    </c:plotArea>
    <c:legend>
      <c:legendPos val="b"/>
      <c:layout>
        <c:manualLayout>
          <c:xMode val="edge"/>
          <c:yMode val="edge"/>
          <c:x val="0"/>
          <c:y val="0.67885661870800174"/>
          <c:w val="0.99883745675725166"/>
          <c:h val="0.316513789833862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36897861894046E-2"/>
          <c:y val="5.0925925925925923E-2"/>
          <c:w val="0.877545982690068"/>
          <c:h val="0.65706765820939061"/>
        </c:manualLayout>
      </c:layout>
      <c:barChart>
        <c:barDir val="col"/>
        <c:grouping val="stacked"/>
        <c:varyColors val="0"/>
        <c:ser>
          <c:idx val="0"/>
          <c:order val="0"/>
          <c:tx>
            <c:strRef>
              <c:f>data!$BB$2</c:f>
              <c:strCache>
                <c:ptCount val="1"/>
                <c:pt idx="0">
                  <c:v>Votre revenu mensuel actuel</c:v>
                </c:pt>
              </c:strCache>
            </c:strRef>
          </c:tx>
          <c:spPr>
            <a:solidFill>
              <a:srgbClr val="EA650D"/>
            </a:solidFill>
            <a:ln>
              <a:noFill/>
            </a:ln>
            <a:effectLst/>
          </c:spPr>
          <c:invertIfNegative val="0"/>
          <c:cat>
            <c:strRef>
              <c:f>data!$BC$1:$BD$1</c:f>
              <c:strCache>
                <c:ptCount val="2"/>
                <c:pt idx="0">
                  <c:v>Votre revenu actuel</c:v>
                </c:pt>
                <c:pt idx="1">
                  <c:v>Votre revenu de retraite (2)</c:v>
                </c:pt>
              </c:strCache>
            </c:strRef>
          </c:cat>
          <c:val>
            <c:numRef>
              <c:f>data!$BC$2:$BD$2</c:f>
              <c:numCache>
                <c:formatCode>_ [$€-813]\ * #,##0_ ;_ [$€-813]\ * \-#,##0_ ;_ [$€-813]\ * "-"??_ ;_ @_ </c:formatCode>
                <c:ptCount val="2"/>
                <c:pt idx="0">
                  <c:v>3750</c:v>
                </c:pt>
                <c:pt idx="1">
                  <c:v>0</c:v>
                </c:pt>
              </c:numCache>
            </c:numRef>
          </c:val>
          <c:extLst>
            <c:ext xmlns:c16="http://schemas.microsoft.com/office/drawing/2014/chart" uri="{C3380CC4-5D6E-409C-BE32-E72D297353CC}">
              <c16:uniqueId val="{00000000-5EBF-4F49-89AE-0575E93FEB5C}"/>
            </c:ext>
          </c:extLst>
        </c:ser>
        <c:ser>
          <c:idx val="1"/>
          <c:order val="1"/>
          <c:tx>
            <c:strRef>
              <c:f>data!$BB$3</c:f>
              <c:strCache>
                <c:ptCount val="1"/>
                <c:pt idx="0">
                  <c:v>Estimation de votre pension légale (1)</c:v>
                </c:pt>
              </c:strCache>
            </c:strRef>
          </c:tx>
          <c:spPr>
            <a:solidFill>
              <a:srgbClr val="666666"/>
            </a:solidFill>
            <a:ln>
              <a:noFill/>
            </a:ln>
            <a:effectLst/>
          </c:spPr>
          <c:invertIfNegative val="0"/>
          <c:cat>
            <c:strRef>
              <c:f>data!$BC$1:$BD$1</c:f>
              <c:strCache>
                <c:ptCount val="2"/>
                <c:pt idx="0">
                  <c:v>Votre revenu actuel</c:v>
                </c:pt>
                <c:pt idx="1">
                  <c:v>Votre revenu de retraite (2)</c:v>
                </c:pt>
              </c:strCache>
            </c:strRef>
          </c:cat>
          <c:val>
            <c:numRef>
              <c:f>data!$BC$3:$BD$3</c:f>
              <c:numCache>
                <c:formatCode>_ [$€-813]\ * #,##0_ ;_ [$€-813]\ * \-#,##0_ ;_ [$€-813]\ * "-"??_ ;_ @_ </c:formatCode>
                <c:ptCount val="2"/>
                <c:pt idx="0">
                  <c:v>0</c:v>
                </c:pt>
                <c:pt idx="1">
                  <c:v>1189.8864444444444</c:v>
                </c:pt>
              </c:numCache>
            </c:numRef>
          </c:val>
          <c:extLst>
            <c:ext xmlns:c16="http://schemas.microsoft.com/office/drawing/2014/chart" uri="{C3380CC4-5D6E-409C-BE32-E72D297353CC}">
              <c16:uniqueId val="{00000001-5EBF-4F49-89AE-0575E93FEB5C}"/>
            </c:ext>
          </c:extLst>
        </c:ser>
        <c:dLbls>
          <c:showLegendKey val="0"/>
          <c:showVal val="0"/>
          <c:showCatName val="0"/>
          <c:showSerName val="0"/>
          <c:showPercent val="0"/>
          <c:showBubbleSize val="0"/>
        </c:dLbls>
        <c:gapWidth val="150"/>
        <c:overlap val="100"/>
        <c:axId val="429543384"/>
        <c:axId val="429546128"/>
      </c:barChart>
      <c:catAx>
        <c:axId val="429543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9546128"/>
        <c:crosses val="autoZero"/>
        <c:auto val="1"/>
        <c:lblAlgn val="ctr"/>
        <c:lblOffset val="100"/>
        <c:noMultiLvlLbl val="0"/>
      </c:catAx>
      <c:valAx>
        <c:axId val="429546128"/>
        <c:scaling>
          <c:orientation val="minMax"/>
        </c:scaling>
        <c:delete val="0"/>
        <c:axPos val="l"/>
        <c:majorGridlines>
          <c:spPr>
            <a:ln w="9525" cap="flat" cmpd="sng" algn="ctr">
              <a:solidFill>
                <a:schemeClr val="tx1">
                  <a:lumMod val="15000"/>
                  <a:lumOff val="85000"/>
                </a:schemeClr>
              </a:solidFill>
              <a:round/>
            </a:ln>
            <a:effectLst/>
          </c:spPr>
        </c:majorGridlines>
        <c:numFmt formatCode="_ [$€-813]\ * #,##0_ ;_ [$€-813]\ * \-#,##0_ ;_ [$€-8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9543384"/>
        <c:crosses val="autoZero"/>
        <c:crossBetween val="between"/>
      </c:valAx>
      <c:spPr>
        <a:noFill/>
        <a:ln>
          <a:noFill/>
        </a:ln>
        <a:effectLst/>
      </c:spPr>
    </c:plotArea>
    <c:legend>
      <c:legendPos val="b"/>
      <c:layout>
        <c:manualLayout>
          <c:xMode val="edge"/>
          <c:yMode val="edge"/>
          <c:x val="2.2219034806578823E-3"/>
          <c:y val="0.82465223097112861"/>
          <c:w val="0.98927462113718179"/>
          <c:h val="0.124421843102945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26670</xdr:rowOff>
    </xdr:from>
    <xdr:to>
      <xdr:col>11</xdr:col>
      <xdr:colOff>7620</xdr:colOff>
      <xdr:row>14</xdr:row>
      <xdr:rowOff>80010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0" y="209550"/>
          <a:ext cx="7376160" cy="2247900"/>
        </a:xfrm>
        <a:prstGeom prst="rect">
          <a:avLst/>
        </a:prstGeom>
        <a:blipFill dpi="0" rotWithShape="1">
          <a:blip xmlns:r="http://schemas.openxmlformats.org/officeDocument/2006/relationships" r:embed="rId1" cstate="email">
            <a:extLst>
              <a:ext uri="{28A0092B-C50C-407E-A947-70E740481C1C}">
                <a14:useLocalDpi xmlns:a14="http://schemas.microsoft.com/office/drawing/2010/main"/>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6</xdr:col>
      <xdr:colOff>281940</xdr:colOff>
      <xdr:row>8</xdr:row>
      <xdr:rowOff>14287</xdr:rowOff>
    </xdr:from>
    <xdr:to>
      <xdr:col>10</xdr:col>
      <xdr:colOff>392431</xdr:colOff>
      <xdr:row>12</xdr:row>
      <xdr:rowOff>101918</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4107180" y="1576387"/>
          <a:ext cx="2686051" cy="819151"/>
        </a:xfrm>
        <a:prstGeom prst="roundRect">
          <a:avLst>
            <a:gd name="adj" fmla="val 6194"/>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BE" sz="2800">
              <a:solidFill>
                <a:srgbClr val="EA650D"/>
              </a:solidFill>
            </a:rPr>
            <a:t>Pension planner</a:t>
          </a:r>
        </a:p>
      </xdr:txBody>
    </xdr:sp>
    <xdr:clientData/>
  </xdr:twoCellAnchor>
  <xdr:twoCellAnchor>
    <xdr:from>
      <xdr:col>0</xdr:col>
      <xdr:colOff>95251</xdr:colOff>
      <xdr:row>17</xdr:row>
      <xdr:rowOff>119063</xdr:rowOff>
    </xdr:from>
    <xdr:to>
      <xdr:col>0</xdr:col>
      <xdr:colOff>527251</xdr:colOff>
      <xdr:row>19</xdr:row>
      <xdr:rowOff>41475</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95251" y="3471863"/>
          <a:ext cx="432000" cy="432952"/>
          <a:chOff x="809626" y="3162300"/>
          <a:chExt cx="432000" cy="432000"/>
        </a:xfrm>
      </xdr:grpSpPr>
      <xdr:sp macro="" textlink="">
        <xdr:nvSpPr>
          <xdr:cNvPr id="6" name="Oval 5">
            <a:extLst>
              <a:ext uri="{FF2B5EF4-FFF2-40B4-BE49-F238E27FC236}">
                <a16:creationId xmlns:a16="http://schemas.microsoft.com/office/drawing/2014/main" id="{00000000-0008-0000-0000-000006000000}"/>
              </a:ext>
            </a:extLst>
          </xdr:cNvPr>
          <xdr:cNvSpPr/>
        </xdr:nvSpPr>
        <xdr:spPr>
          <a:xfrm>
            <a:off x="809626" y="3162300"/>
            <a:ext cx="432000" cy="432000"/>
          </a:xfrm>
          <a:prstGeom prst="ellipse">
            <a:avLst/>
          </a:prstGeom>
          <a:solidFill>
            <a:srgbClr val="EA650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7" name="Freeform 6">
            <a:extLst>
              <a:ext uri="{FF2B5EF4-FFF2-40B4-BE49-F238E27FC236}">
                <a16:creationId xmlns:a16="http://schemas.microsoft.com/office/drawing/2014/main" id="{00000000-0008-0000-0000-000007000000}"/>
              </a:ext>
            </a:extLst>
          </xdr:cNvPr>
          <xdr:cNvSpPr>
            <a:spLocks/>
          </xdr:cNvSpPr>
        </xdr:nvSpPr>
        <xdr:spPr bwMode="auto">
          <a:xfrm>
            <a:off x="899420" y="3254475"/>
            <a:ext cx="252412" cy="247650"/>
          </a:xfrm>
          <a:custGeom>
            <a:avLst/>
            <a:gdLst/>
            <a:ahLst/>
            <a:cxnLst>
              <a:cxn ang="0">
                <a:pos x="112" y="89"/>
              </a:cxn>
              <a:cxn ang="0">
                <a:pos x="86" y="75"/>
              </a:cxn>
              <a:cxn ang="0">
                <a:pos x="72" y="69"/>
              </a:cxn>
              <a:cxn ang="0">
                <a:pos x="72" y="58"/>
              </a:cxn>
              <a:cxn ang="0">
                <a:pos x="77" y="45"/>
              </a:cxn>
              <a:cxn ang="0">
                <a:pos x="83" y="38"/>
              </a:cxn>
              <a:cxn ang="0">
                <a:pos x="79" y="30"/>
              </a:cxn>
              <a:cxn ang="0">
                <a:pos x="80" y="18"/>
              </a:cxn>
              <a:cxn ang="0">
                <a:pos x="58" y="0"/>
              </a:cxn>
              <a:cxn ang="0">
                <a:pos x="35" y="18"/>
              </a:cxn>
              <a:cxn ang="0">
                <a:pos x="36" y="30"/>
              </a:cxn>
              <a:cxn ang="0">
                <a:pos x="33" y="38"/>
              </a:cxn>
              <a:cxn ang="0">
                <a:pos x="38" y="45"/>
              </a:cxn>
              <a:cxn ang="0">
                <a:pos x="44" y="58"/>
              </a:cxn>
              <a:cxn ang="0">
                <a:pos x="44" y="69"/>
              </a:cxn>
              <a:cxn ang="0">
                <a:pos x="30" y="75"/>
              </a:cxn>
              <a:cxn ang="0">
                <a:pos x="4" y="89"/>
              </a:cxn>
              <a:cxn ang="0">
                <a:pos x="1" y="116"/>
              </a:cxn>
              <a:cxn ang="0">
                <a:pos x="114" y="116"/>
              </a:cxn>
              <a:cxn ang="0">
                <a:pos x="112" y="89"/>
              </a:cxn>
            </a:cxnLst>
            <a:rect l="0" t="0" r="r" b="b"/>
            <a:pathLst>
              <a:path w="115" h="116">
                <a:moveTo>
                  <a:pt x="112" y="89"/>
                </a:moveTo>
                <a:cubicBezTo>
                  <a:pt x="109" y="83"/>
                  <a:pt x="97" y="80"/>
                  <a:pt x="86" y="75"/>
                </a:cubicBezTo>
                <a:cubicBezTo>
                  <a:pt x="75" y="71"/>
                  <a:pt x="72" y="69"/>
                  <a:pt x="72" y="69"/>
                </a:cubicBezTo>
                <a:cubicBezTo>
                  <a:pt x="72" y="58"/>
                  <a:pt x="72" y="58"/>
                  <a:pt x="72" y="58"/>
                </a:cubicBezTo>
                <a:cubicBezTo>
                  <a:pt x="72" y="58"/>
                  <a:pt x="76" y="55"/>
                  <a:pt x="77" y="45"/>
                </a:cubicBezTo>
                <a:cubicBezTo>
                  <a:pt x="80" y="45"/>
                  <a:pt x="83" y="41"/>
                  <a:pt x="83" y="38"/>
                </a:cubicBezTo>
                <a:cubicBezTo>
                  <a:pt x="83" y="36"/>
                  <a:pt x="83" y="29"/>
                  <a:pt x="79" y="30"/>
                </a:cubicBezTo>
                <a:cubicBezTo>
                  <a:pt x="80" y="25"/>
                  <a:pt x="81" y="20"/>
                  <a:pt x="80" y="18"/>
                </a:cubicBezTo>
                <a:cubicBezTo>
                  <a:pt x="80" y="9"/>
                  <a:pt x="71" y="0"/>
                  <a:pt x="58" y="0"/>
                </a:cubicBezTo>
                <a:cubicBezTo>
                  <a:pt x="45" y="0"/>
                  <a:pt x="36" y="9"/>
                  <a:pt x="35" y="18"/>
                </a:cubicBezTo>
                <a:cubicBezTo>
                  <a:pt x="35" y="20"/>
                  <a:pt x="35" y="25"/>
                  <a:pt x="36" y="30"/>
                </a:cubicBezTo>
                <a:cubicBezTo>
                  <a:pt x="33" y="29"/>
                  <a:pt x="32" y="36"/>
                  <a:pt x="33" y="38"/>
                </a:cubicBezTo>
                <a:cubicBezTo>
                  <a:pt x="33" y="41"/>
                  <a:pt x="35" y="45"/>
                  <a:pt x="38" y="45"/>
                </a:cubicBezTo>
                <a:cubicBezTo>
                  <a:pt x="39" y="55"/>
                  <a:pt x="44" y="58"/>
                  <a:pt x="44" y="58"/>
                </a:cubicBezTo>
                <a:cubicBezTo>
                  <a:pt x="44" y="69"/>
                  <a:pt x="44" y="69"/>
                  <a:pt x="44" y="69"/>
                </a:cubicBezTo>
                <a:cubicBezTo>
                  <a:pt x="44" y="69"/>
                  <a:pt x="41" y="71"/>
                  <a:pt x="30" y="75"/>
                </a:cubicBezTo>
                <a:cubicBezTo>
                  <a:pt x="18" y="80"/>
                  <a:pt x="7" y="83"/>
                  <a:pt x="4" y="89"/>
                </a:cubicBezTo>
                <a:cubicBezTo>
                  <a:pt x="0" y="93"/>
                  <a:pt x="1" y="116"/>
                  <a:pt x="1" y="116"/>
                </a:cubicBezTo>
                <a:cubicBezTo>
                  <a:pt x="114" y="116"/>
                  <a:pt x="114" y="116"/>
                  <a:pt x="114" y="116"/>
                </a:cubicBezTo>
                <a:cubicBezTo>
                  <a:pt x="114" y="116"/>
                  <a:pt x="115" y="93"/>
                  <a:pt x="112" y="89"/>
                </a:cubicBezTo>
                <a:close/>
              </a:path>
            </a:pathLst>
          </a:custGeom>
          <a:solidFill>
            <a:schemeClr val="bg1"/>
          </a:solidFill>
          <a:ln w="9525">
            <a:noFill/>
            <a:round/>
            <a:headEnd/>
            <a:tailEnd/>
          </a:ln>
        </xdr:spPr>
        <xdr:txBody>
          <a:bodyPr vert="horz" wrap="square" lIns="91440" tIns="45720" rIns="91440" bIns="45720" numCol="1" anchor="t" anchorCtr="0" compatLnSpc="1">
            <a:prstTxWarp prst="textNoShape">
              <a:avLst/>
            </a:prstTxWarp>
          </a:bodyPr>
          <a:lstStyle>
            <a:defPPr lvl="0">
              <a:defRPr lang="en-GB"/>
            </a:defPPr>
            <a:lvl1pPr marL="0" lvl="1" algn="l" defTabSz="914400" rtl="0" eaLnBrk="1" latinLnBrk="0" hangingPunct="1">
              <a:defRPr sz="1800" kern="1200">
                <a:solidFill>
                  <a:schemeClr val="tx1"/>
                </a:solidFill>
                <a:latin typeface="+mn-lt"/>
                <a:ea typeface="+mn-ea"/>
                <a:cs typeface="+mn-cs"/>
              </a:defRPr>
            </a:lvl1pPr>
            <a:lvl2pPr marL="457200" lvl="2" algn="l" defTabSz="914400" rtl="0" eaLnBrk="1" latinLnBrk="0" hangingPunct="1">
              <a:defRPr sz="1800" kern="1200">
                <a:solidFill>
                  <a:schemeClr val="tx1"/>
                </a:solidFill>
                <a:latin typeface="+mn-lt"/>
                <a:ea typeface="+mn-ea"/>
                <a:cs typeface="+mn-cs"/>
              </a:defRPr>
            </a:lvl2pPr>
            <a:lvl3pPr marL="914400" lvl="3" algn="l" defTabSz="914400" rtl="0" eaLnBrk="1" latinLnBrk="0" hangingPunct="1">
              <a:defRPr sz="1800" kern="1200">
                <a:solidFill>
                  <a:schemeClr val="tx1"/>
                </a:solidFill>
                <a:latin typeface="+mn-lt"/>
                <a:ea typeface="+mn-ea"/>
                <a:cs typeface="+mn-cs"/>
              </a:defRPr>
            </a:lvl3pPr>
            <a:lvl4pPr marL="1371600" lvl="4"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0</xdr:col>
      <xdr:colOff>66675</xdr:colOff>
      <xdr:row>38</xdr:row>
      <xdr:rowOff>152399</xdr:rowOff>
    </xdr:from>
    <xdr:to>
      <xdr:col>0</xdr:col>
      <xdr:colOff>498675</xdr:colOff>
      <xdr:row>40</xdr:row>
      <xdr:rowOff>74811</xdr:rowOff>
    </xdr:to>
    <xdr:grpSp>
      <xdr:nvGrpSpPr>
        <xdr:cNvPr id="31" name="Group 30">
          <a:extLst>
            <a:ext uri="{FF2B5EF4-FFF2-40B4-BE49-F238E27FC236}">
              <a16:creationId xmlns:a16="http://schemas.microsoft.com/office/drawing/2014/main" id="{00000000-0008-0000-0000-00001F000000}"/>
            </a:ext>
          </a:extLst>
        </xdr:cNvPr>
        <xdr:cNvGrpSpPr/>
      </xdr:nvGrpSpPr>
      <xdr:grpSpPr>
        <a:xfrm>
          <a:off x="66675" y="7635239"/>
          <a:ext cx="432000" cy="432952"/>
          <a:chOff x="66675" y="7324724"/>
          <a:chExt cx="432000" cy="432000"/>
        </a:xfrm>
      </xdr:grpSpPr>
      <xdr:sp macro="" textlink="">
        <xdr:nvSpPr>
          <xdr:cNvPr id="15" name="Oval 14">
            <a:extLst>
              <a:ext uri="{FF2B5EF4-FFF2-40B4-BE49-F238E27FC236}">
                <a16:creationId xmlns:a16="http://schemas.microsoft.com/office/drawing/2014/main" id="{00000000-0008-0000-0000-00000F000000}"/>
              </a:ext>
            </a:extLst>
          </xdr:cNvPr>
          <xdr:cNvSpPr/>
        </xdr:nvSpPr>
        <xdr:spPr>
          <a:xfrm>
            <a:off x="66675" y="7324724"/>
            <a:ext cx="432000" cy="432000"/>
          </a:xfrm>
          <a:prstGeom prst="ellipse">
            <a:avLst/>
          </a:prstGeom>
          <a:solidFill>
            <a:srgbClr val="EA650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a:xfrm>
            <a:off x="187425" y="7385948"/>
            <a:ext cx="190501" cy="309553"/>
            <a:chOff x="1974850" y="4173538"/>
            <a:chExt cx="309563" cy="508000"/>
          </a:xfrm>
          <a:solidFill>
            <a:schemeClr val="bg1"/>
          </a:solidFill>
        </xdr:grpSpPr>
        <xdr:sp macro="" textlink="">
          <xdr:nvSpPr>
            <xdr:cNvPr id="25" name="Freeform 24">
              <a:extLst>
                <a:ext uri="{FF2B5EF4-FFF2-40B4-BE49-F238E27FC236}">
                  <a16:creationId xmlns:a16="http://schemas.microsoft.com/office/drawing/2014/main" id="{00000000-0008-0000-0000-000019000000}"/>
                </a:ext>
              </a:extLst>
            </xdr:cNvPr>
            <xdr:cNvSpPr>
              <a:spLocks/>
            </xdr:cNvSpPr>
          </xdr:nvSpPr>
          <xdr:spPr bwMode="auto">
            <a:xfrm>
              <a:off x="1974850" y="4173538"/>
              <a:ext cx="293688" cy="407988"/>
            </a:xfrm>
            <a:custGeom>
              <a:avLst/>
              <a:gdLst/>
              <a:ahLst/>
              <a:cxnLst>
                <a:cxn ang="0">
                  <a:pos x="123" y="191"/>
                </a:cxn>
                <a:cxn ang="0">
                  <a:pos x="120" y="170"/>
                </a:cxn>
                <a:cxn ang="0">
                  <a:pos x="134" y="124"/>
                </a:cxn>
                <a:cxn ang="0">
                  <a:pos x="139" y="90"/>
                </a:cxn>
                <a:cxn ang="0">
                  <a:pos x="131" y="56"/>
                </a:cxn>
                <a:cxn ang="0">
                  <a:pos x="85" y="19"/>
                </a:cxn>
                <a:cxn ang="0">
                  <a:pos x="70" y="0"/>
                </a:cxn>
                <a:cxn ang="0">
                  <a:pos x="69" y="19"/>
                </a:cxn>
                <a:cxn ang="0">
                  <a:pos x="56" y="23"/>
                </a:cxn>
                <a:cxn ang="0">
                  <a:pos x="59" y="30"/>
                </a:cxn>
                <a:cxn ang="0">
                  <a:pos x="40" y="38"/>
                </a:cxn>
                <a:cxn ang="0">
                  <a:pos x="37" y="44"/>
                </a:cxn>
                <a:cxn ang="0">
                  <a:pos x="2" y="75"/>
                </a:cxn>
                <a:cxn ang="0">
                  <a:pos x="2" y="80"/>
                </a:cxn>
                <a:cxn ang="0">
                  <a:pos x="1" y="87"/>
                </a:cxn>
                <a:cxn ang="0">
                  <a:pos x="1" y="94"/>
                </a:cxn>
                <a:cxn ang="0">
                  <a:pos x="8" y="101"/>
                </a:cxn>
                <a:cxn ang="0">
                  <a:pos x="12" y="102"/>
                </a:cxn>
                <a:cxn ang="0">
                  <a:pos x="21" y="105"/>
                </a:cxn>
                <a:cxn ang="0">
                  <a:pos x="37" y="96"/>
                </a:cxn>
                <a:cxn ang="0">
                  <a:pos x="49" y="92"/>
                </a:cxn>
                <a:cxn ang="0">
                  <a:pos x="79" y="95"/>
                </a:cxn>
                <a:cxn ang="0">
                  <a:pos x="43" y="138"/>
                </a:cxn>
                <a:cxn ang="0">
                  <a:pos x="37" y="191"/>
                </a:cxn>
                <a:cxn ang="0">
                  <a:pos x="123" y="191"/>
                </a:cxn>
                <a:cxn ang="0">
                  <a:pos x="123" y="191"/>
                </a:cxn>
                <a:cxn ang="0">
                  <a:pos x="123" y="191"/>
                </a:cxn>
              </a:cxnLst>
              <a:rect l="0" t="0" r="r" b="b"/>
              <a:pathLst>
                <a:path w="139" h="191">
                  <a:moveTo>
                    <a:pt x="123" y="191"/>
                  </a:moveTo>
                  <a:cubicBezTo>
                    <a:pt x="119" y="186"/>
                    <a:pt x="120" y="170"/>
                    <a:pt x="120" y="170"/>
                  </a:cubicBezTo>
                  <a:cubicBezTo>
                    <a:pt x="120" y="170"/>
                    <a:pt x="129" y="132"/>
                    <a:pt x="134" y="124"/>
                  </a:cubicBezTo>
                  <a:cubicBezTo>
                    <a:pt x="139" y="115"/>
                    <a:pt x="139" y="90"/>
                    <a:pt x="139" y="90"/>
                  </a:cubicBezTo>
                  <a:cubicBezTo>
                    <a:pt x="139" y="90"/>
                    <a:pt x="138" y="75"/>
                    <a:pt x="131" y="56"/>
                  </a:cubicBezTo>
                  <a:cubicBezTo>
                    <a:pt x="124" y="37"/>
                    <a:pt x="101" y="22"/>
                    <a:pt x="85" y="19"/>
                  </a:cubicBezTo>
                  <a:cubicBezTo>
                    <a:pt x="84" y="10"/>
                    <a:pt x="70" y="0"/>
                    <a:pt x="70" y="0"/>
                  </a:cubicBezTo>
                  <a:cubicBezTo>
                    <a:pt x="70" y="0"/>
                    <a:pt x="72" y="19"/>
                    <a:pt x="69" y="19"/>
                  </a:cubicBezTo>
                  <a:cubicBezTo>
                    <a:pt x="67" y="19"/>
                    <a:pt x="56" y="23"/>
                    <a:pt x="56" y="23"/>
                  </a:cubicBezTo>
                  <a:cubicBezTo>
                    <a:pt x="59" y="30"/>
                    <a:pt x="59" y="30"/>
                    <a:pt x="59" y="30"/>
                  </a:cubicBezTo>
                  <a:cubicBezTo>
                    <a:pt x="45" y="34"/>
                    <a:pt x="40" y="38"/>
                    <a:pt x="40" y="38"/>
                  </a:cubicBezTo>
                  <a:cubicBezTo>
                    <a:pt x="40" y="38"/>
                    <a:pt x="39" y="39"/>
                    <a:pt x="37" y="44"/>
                  </a:cubicBezTo>
                  <a:cubicBezTo>
                    <a:pt x="34" y="49"/>
                    <a:pt x="4" y="74"/>
                    <a:pt x="2" y="75"/>
                  </a:cubicBezTo>
                  <a:cubicBezTo>
                    <a:pt x="1" y="77"/>
                    <a:pt x="2" y="80"/>
                    <a:pt x="2" y="80"/>
                  </a:cubicBezTo>
                  <a:cubicBezTo>
                    <a:pt x="2" y="80"/>
                    <a:pt x="1" y="86"/>
                    <a:pt x="1" y="87"/>
                  </a:cubicBezTo>
                  <a:cubicBezTo>
                    <a:pt x="1" y="87"/>
                    <a:pt x="0" y="92"/>
                    <a:pt x="1" y="94"/>
                  </a:cubicBezTo>
                  <a:cubicBezTo>
                    <a:pt x="3" y="96"/>
                    <a:pt x="4" y="99"/>
                    <a:pt x="8" y="101"/>
                  </a:cubicBezTo>
                  <a:cubicBezTo>
                    <a:pt x="11" y="104"/>
                    <a:pt x="12" y="102"/>
                    <a:pt x="12" y="102"/>
                  </a:cubicBezTo>
                  <a:cubicBezTo>
                    <a:pt x="12" y="102"/>
                    <a:pt x="12" y="103"/>
                    <a:pt x="21" y="105"/>
                  </a:cubicBezTo>
                  <a:cubicBezTo>
                    <a:pt x="33" y="105"/>
                    <a:pt x="37" y="96"/>
                    <a:pt x="37" y="96"/>
                  </a:cubicBezTo>
                  <a:cubicBezTo>
                    <a:pt x="37" y="96"/>
                    <a:pt x="40" y="91"/>
                    <a:pt x="49" y="92"/>
                  </a:cubicBezTo>
                  <a:cubicBezTo>
                    <a:pt x="67" y="102"/>
                    <a:pt x="79" y="95"/>
                    <a:pt x="79" y="95"/>
                  </a:cubicBezTo>
                  <a:cubicBezTo>
                    <a:pt x="79" y="95"/>
                    <a:pt x="64" y="107"/>
                    <a:pt x="43" y="138"/>
                  </a:cubicBezTo>
                  <a:cubicBezTo>
                    <a:pt x="21" y="170"/>
                    <a:pt x="37" y="191"/>
                    <a:pt x="37" y="191"/>
                  </a:cubicBezTo>
                  <a:lnTo>
                    <a:pt x="123" y="191"/>
                  </a:lnTo>
                  <a:close/>
                  <a:moveTo>
                    <a:pt x="123" y="191"/>
                  </a:moveTo>
                  <a:cubicBezTo>
                    <a:pt x="123" y="191"/>
                    <a:pt x="123" y="191"/>
                    <a:pt x="123" y="191"/>
                  </a:cubicBezTo>
                </a:path>
              </a:pathLst>
            </a:custGeom>
            <a:grpFill/>
            <a:ln w="9525">
              <a:noFill/>
              <a:round/>
              <a:headEnd/>
              <a:tailEnd/>
            </a:ln>
          </xdr:spPr>
          <xdr:txBody>
            <a:bodyPr vert="horz" wrap="square" lIns="91440" tIns="45720" rIns="91440" bIns="45720" numCol="1" anchor="t" anchorCtr="0" compatLnSpc="1">
              <a:prstTxWarp prst="textNoShape">
                <a:avLst/>
              </a:prstTxWarp>
            </a:bodyPr>
            <a:lstStyle>
              <a:defPPr lvl="0">
                <a:defRPr lang="en-GB"/>
              </a:defPPr>
              <a:lvl1pPr marL="0" lvl="1" algn="l" defTabSz="914400" rtl="0" eaLnBrk="1" latinLnBrk="0" hangingPunct="1">
                <a:defRPr sz="1800" kern="1200">
                  <a:solidFill>
                    <a:schemeClr val="tx1"/>
                  </a:solidFill>
                  <a:latin typeface="+mn-lt"/>
                  <a:ea typeface="+mn-ea"/>
                  <a:cs typeface="+mn-cs"/>
                </a:defRPr>
              </a:lvl1pPr>
              <a:lvl2pPr marL="457200" lvl="2" algn="l" defTabSz="914400" rtl="0" eaLnBrk="1" latinLnBrk="0" hangingPunct="1">
                <a:defRPr sz="1800" kern="1200">
                  <a:solidFill>
                    <a:schemeClr val="tx1"/>
                  </a:solidFill>
                  <a:latin typeface="+mn-lt"/>
                  <a:ea typeface="+mn-ea"/>
                  <a:cs typeface="+mn-cs"/>
                </a:defRPr>
              </a:lvl2pPr>
              <a:lvl3pPr marL="914400" lvl="3" algn="l" defTabSz="914400" rtl="0" eaLnBrk="1" latinLnBrk="0" hangingPunct="1">
                <a:defRPr sz="1800" kern="1200">
                  <a:solidFill>
                    <a:schemeClr val="tx1"/>
                  </a:solidFill>
                  <a:latin typeface="+mn-lt"/>
                  <a:ea typeface="+mn-ea"/>
                  <a:cs typeface="+mn-cs"/>
                </a:defRPr>
              </a:lvl3pPr>
              <a:lvl4pPr marL="1371600" lvl="4"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6" name="Freeform 25">
              <a:extLst>
                <a:ext uri="{FF2B5EF4-FFF2-40B4-BE49-F238E27FC236}">
                  <a16:creationId xmlns:a16="http://schemas.microsoft.com/office/drawing/2014/main" id="{00000000-0008-0000-0000-00001A000000}"/>
                </a:ext>
              </a:extLst>
            </xdr:cNvPr>
            <xdr:cNvSpPr>
              <a:spLocks/>
            </xdr:cNvSpPr>
          </xdr:nvSpPr>
          <xdr:spPr bwMode="auto">
            <a:xfrm>
              <a:off x="2006600" y="4587875"/>
              <a:ext cx="277813" cy="93663"/>
            </a:xfrm>
            <a:custGeom>
              <a:avLst/>
              <a:gdLst/>
              <a:ahLst/>
              <a:cxnLst>
                <a:cxn ang="0">
                  <a:pos x="131" y="39"/>
                </a:cxn>
                <a:cxn ang="0">
                  <a:pos x="126" y="44"/>
                </a:cxn>
                <a:cxn ang="0">
                  <a:pos x="4" y="44"/>
                </a:cxn>
                <a:cxn ang="0">
                  <a:pos x="0" y="39"/>
                </a:cxn>
                <a:cxn ang="0">
                  <a:pos x="0" y="5"/>
                </a:cxn>
                <a:cxn ang="0">
                  <a:pos x="4" y="0"/>
                </a:cxn>
                <a:cxn ang="0">
                  <a:pos x="126" y="0"/>
                </a:cxn>
                <a:cxn ang="0">
                  <a:pos x="131" y="5"/>
                </a:cxn>
                <a:cxn ang="0">
                  <a:pos x="131" y="39"/>
                </a:cxn>
                <a:cxn ang="0">
                  <a:pos x="131" y="39"/>
                </a:cxn>
                <a:cxn ang="0">
                  <a:pos x="131" y="39"/>
                </a:cxn>
              </a:cxnLst>
              <a:rect l="0" t="0" r="r" b="b"/>
              <a:pathLst>
                <a:path w="131" h="44">
                  <a:moveTo>
                    <a:pt x="131" y="39"/>
                  </a:moveTo>
                  <a:cubicBezTo>
                    <a:pt x="131" y="42"/>
                    <a:pt x="129" y="44"/>
                    <a:pt x="126" y="44"/>
                  </a:cubicBezTo>
                  <a:cubicBezTo>
                    <a:pt x="4" y="44"/>
                    <a:pt x="4" y="44"/>
                    <a:pt x="4" y="44"/>
                  </a:cubicBezTo>
                  <a:cubicBezTo>
                    <a:pt x="2" y="44"/>
                    <a:pt x="0" y="42"/>
                    <a:pt x="0" y="39"/>
                  </a:cubicBezTo>
                  <a:cubicBezTo>
                    <a:pt x="0" y="5"/>
                    <a:pt x="0" y="5"/>
                    <a:pt x="0" y="5"/>
                  </a:cubicBezTo>
                  <a:cubicBezTo>
                    <a:pt x="0" y="2"/>
                    <a:pt x="2" y="0"/>
                    <a:pt x="4" y="0"/>
                  </a:cubicBezTo>
                  <a:cubicBezTo>
                    <a:pt x="126" y="0"/>
                    <a:pt x="126" y="0"/>
                    <a:pt x="126" y="0"/>
                  </a:cubicBezTo>
                  <a:cubicBezTo>
                    <a:pt x="129" y="0"/>
                    <a:pt x="131" y="2"/>
                    <a:pt x="131" y="5"/>
                  </a:cubicBezTo>
                  <a:lnTo>
                    <a:pt x="131" y="39"/>
                  </a:lnTo>
                  <a:close/>
                  <a:moveTo>
                    <a:pt x="131" y="39"/>
                  </a:moveTo>
                  <a:cubicBezTo>
                    <a:pt x="131" y="39"/>
                    <a:pt x="131" y="39"/>
                    <a:pt x="131" y="39"/>
                  </a:cubicBezTo>
                </a:path>
              </a:pathLst>
            </a:custGeom>
            <a:grpFill/>
            <a:ln w="9525">
              <a:noFill/>
              <a:round/>
              <a:headEnd/>
              <a:tailEnd/>
            </a:ln>
          </xdr:spPr>
          <xdr:txBody>
            <a:bodyPr vert="horz" wrap="square" lIns="91440" tIns="45720" rIns="91440" bIns="45720" numCol="1" anchor="t" anchorCtr="0" compatLnSpc="1">
              <a:prstTxWarp prst="textNoShape">
                <a:avLst/>
              </a:prstTxWarp>
            </a:bodyPr>
            <a:lstStyle>
              <a:defPPr lvl="0">
                <a:defRPr lang="en-GB"/>
              </a:defPPr>
              <a:lvl1pPr marL="0" lvl="1" algn="l" defTabSz="914400" rtl="0" eaLnBrk="1" latinLnBrk="0" hangingPunct="1">
                <a:defRPr sz="1800" kern="1200">
                  <a:solidFill>
                    <a:schemeClr val="tx1"/>
                  </a:solidFill>
                  <a:latin typeface="+mn-lt"/>
                  <a:ea typeface="+mn-ea"/>
                  <a:cs typeface="+mn-cs"/>
                </a:defRPr>
              </a:lvl1pPr>
              <a:lvl2pPr marL="457200" lvl="2" algn="l" defTabSz="914400" rtl="0" eaLnBrk="1" latinLnBrk="0" hangingPunct="1">
                <a:defRPr sz="1800" kern="1200">
                  <a:solidFill>
                    <a:schemeClr val="tx1"/>
                  </a:solidFill>
                  <a:latin typeface="+mn-lt"/>
                  <a:ea typeface="+mn-ea"/>
                  <a:cs typeface="+mn-cs"/>
                </a:defRPr>
              </a:lvl2pPr>
              <a:lvl3pPr marL="914400" lvl="3" algn="l" defTabSz="914400" rtl="0" eaLnBrk="1" latinLnBrk="0" hangingPunct="1">
                <a:defRPr sz="1800" kern="1200">
                  <a:solidFill>
                    <a:schemeClr val="tx1"/>
                  </a:solidFill>
                  <a:latin typeface="+mn-lt"/>
                  <a:ea typeface="+mn-ea"/>
                  <a:cs typeface="+mn-cs"/>
                </a:defRPr>
              </a:lvl3pPr>
              <a:lvl4pPr marL="1371600" lvl="4"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0</xdr:col>
      <xdr:colOff>80962</xdr:colOff>
      <xdr:row>29</xdr:row>
      <xdr:rowOff>142875</xdr:rowOff>
    </xdr:from>
    <xdr:to>
      <xdr:col>0</xdr:col>
      <xdr:colOff>512962</xdr:colOff>
      <xdr:row>31</xdr:row>
      <xdr:rowOff>65288</xdr:rowOff>
    </xdr:to>
    <xdr:grpSp>
      <xdr:nvGrpSpPr>
        <xdr:cNvPr id="30" name="Group 29">
          <a:extLst>
            <a:ext uri="{FF2B5EF4-FFF2-40B4-BE49-F238E27FC236}">
              <a16:creationId xmlns:a16="http://schemas.microsoft.com/office/drawing/2014/main" id="{00000000-0008-0000-0000-00001E000000}"/>
            </a:ext>
          </a:extLst>
        </xdr:cNvPr>
        <xdr:cNvGrpSpPr/>
      </xdr:nvGrpSpPr>
      <xdr:grpSpPr>
        <a:xfrm>
          <a:off x="80962" y="5835015"/>
          <a:ext cx="432000" cy="432953"/>
          <a:chOff x="80962" y="5719763"/>
          <a:chExt cx="432000" cy="432000"/>
        </a:xfrm>
      </xdr:grpSpPr>
      <xdr:sp macro="" textlink="">
        <xdr:nvSpPr>
          <xdr:cNvPr id="12" name="Oval 11">
            <a:extLst>
              <a:ext uri="{FF2B5EF4-FFF2-40B4-BE49-F238E27FC236}">
                <a16:creationId xmlns:a16="http://schemas.microsoft.com/office/drawing/2014/main" id="{00000000-0008-0000-0000-00000C000000}"/>
              </a:ext>
            </a:extLst>
          </xdr:cNvPr>
          <xdr:cNvSpPr/>
        </xdr:nvSpPr>
        <xdr:spPr>
          <a:xfrm>
            <a:off x="80962" y="5719763"/>
            <a:ext cx="432000" cy="432000"/>
          </a:xfrm>
          <a:prstGeom prst="ellipse">
            <a:avLst/>
          </a:prstGeom>
          <a:solidFill>
            <a:srgbClr val="EA650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7" name="Group 26">
            <a:extLst>
              <a:ext uri="{FF2B5EF4-FFF2-40B4-BE49-F238E27FC236}">
                <a16:creationId xmlns:a16="http://schemas.microsoft.com/office/drawing/2014/main" id="{00000000-0008-0000-0000-00001B000000}"/>
              </a:ext>
            </a:extLst>
          </xdr:cNvPr>
          <xdr:cNvGrpSpPr>
            <a:grpSpLocks/>
          </xdr:cNvGrpSpPr>
        </xdr:nvGrpSpPr>
        <xdr:grpSpPr>
          <a:xfrm>
            <a:off x="158850" y="5769072"/>
            <a:ext cx="276224" cy="333382"/>
            <a:chOff x="649288" y="2347912"/>
            <a:chExt cx="273050" cy="339725"/>
          </a:xfrm>
          <a:solidFill>
            <a:schemeClr val="bg1"/>
          </a:solidFill>
        </xdr:grpSpPr>
        <xdr:sp macro="" textlink="">
          <xdr:nvSpPr>
            <xdr:cNvPr id="28" name="Freeform 27">
              <a:extLst>
                <a:ext uri="{FF2B5EF4-FFF2-40B4-BE49-F238E27FC236}">
                  <a16:creationId xmlns:a16="http://schemas.microsoft.com/office/drawing/2014/main" id="{00000000-0008-0000-0000-00001C000000}"/>
                </a:ext>
              </a:extLst>
            </xdr:cNvPr>
            <xdr:cNvSpPr>
              <a:spLocks/>
            </xdr:cNvSpPr>
          </xdr:nvSpPr>
          <xdr:spPr bwMode="auto">
            <a:xfrm>
              <a:off x="727075" y="2487612"/>
              <a:ext cx="117475" cy="115888"/>
            </a:xfrm>
            <a:custGeom>
              <a:avLst/>
              <a:gdLst/>
              <a:ahLst/>
              <a:cxnLst>
                <a:cxn ang="0">
                  <a:pos x="28" y="38"/>
                </a:cxn>
                <a:cxn ang="0">
                  <a:pos x="27" y="38"/>
                </a:cxn>
                <a:cxn ang="0">
                  <a:pos x="27" y="41"/>
                </a:cxn>
                <a:cxn ang="0">
                  <a:pos x="26" y="42"/>
                </a:cxn>
                <a:cxn ang="0">
                  <a:pos x="25" y="42"/>
                </a:cxn>
                <a:cxn ang="0">
                  <a:pos x="23" y="41"/>
                </a:cxn>
                <a:cxn ang="0">
                  <a:pos x="23" y="38"/>
                </a:cxn>
                <a:cxn ang="0">
                  <a:pos x="23" y="38"/>
                </a:cxn>
                <a:cxn ang="0">
                  <a:pos x="18" y="36"/>
                </a:cxn>
                <a:cxn ang="0">
                  <a:pos x="17" y="35"/>
                </a:cxn>
                <a:cxn ang="0">
                  <a:pos x="18" y="33"/>
                </a:cxn>
                <a:cxn ang="0">
                  <a:pos x="19" y="32"/>
                </a:cxn>
                <a:cxn ang="0">
                  <a:pos x="19" y="32"/>
                </a:cxn>
                <a:cxn ang="0">
                  <a:pos x="25" y="34"/>
                </a:cxn>
                <a:cxn ang="0">
                  <a:pos x="29" y="31"/>
                </a:cxn>
                <a:cxn ang="0">
                  <a:pos x="25" y="26"/>
                </a:cxn>
                <a:cxn ang="0">
                  <a:pos x="17" y="19"/>
                </a:cxn>
                <a:cxn ang="0">
                  <a:pos x="23" y="12"/>
                </a:cxn>
                <a:cxn ang="0">
                  <a:pos x="24" y="11"/>
                </a:cxn>
                <a:cxn ang="0">
                  <a:pos x="24" y="9"/>
                </a:cxn>
                <a:cxn ang="0">
                  <a:pos x="25" y="7"/>
                </a:cxn>
                <a:cxn ang="0">
                  <a:pos x="26" y="7"/>
                </a:cxn>
                <a:cxn ang="0">
                  <a:pos x="28" y="9"/>
                </a:cxn>
                <a:cxn ang="0">
                  <a:pos x="28" y="11"/>
                </a:cxn>
                <a:cxn ang="0">
                  <a:pos x="28" y="11"/>
                </a:cxn>
                <a:cxn ang="0">
                  <a:pos x="32" y="13"/>
                </a:cxn>
                <a:cxn ang="0">
                  <a:pos x="33" y="14"/>
                </a:cxn>
                <a:cxn ang="0">
                  <a:pos x="32" y="16"/>
                </a:cxn>
                <a:cxn ang="0">
                  <a:pos x="31" y="17"/>
                </a:cxn>
                <a:cxn ang="0">
                  <a:pos x="30" y="16"/>
                </a:cxn>
                <a:cxn ang="0">
                  <a:pos x="26" y="15"/>
                </a:cxn>
                <a:cxn ang="0">
                  <a:pos x="22" y="18"/>
                </a:cxn>
                <a:cxn ang="0">
                  <a:pos x="27" y="22"/>
                </a:cxn>
                <a:cxn ang="0">
                  <a:pos x="34" y="30"/>
                </a:cxn>
                <a:cxn ang="0">
                  <a:pos x="28" y="38"/>
                </a:cxn>
                <a:cxn ang="0">
                  <a:pos x="25" y="0"/>
                </a:cxn>
                <a:cxn ang="0">
                  <a:pos x="0" y="25"/>
                </a:cxn>
                <a:cxn ang="0">
                  <a:pos x="25" y="50"/>
                </a:cxn>
                <a:cxn ang="0">
                  <a:pos x="51" y="25"/>
                </a:cxn>
                <a:cxn ang="0">
                  <a:pos x="25" y="0"/>
                </a:cxn>
              </a:cxnLst>
              <a:rect l="0" t="0" r="r" b="b"/>
              <a:pathLst>
                <a:path w="51" h="50">
                  <a:moveTo>
                    <a:pt x="28" y="38"/>
                  </a:moveTo>
                  <a:cubicBezTo>
                    <a:pt x="28" y="38"/>
                    <a:pt x="27" y="38"/>
                    <a:pt x="27" y="38"/>
                  </a:cubicBezTo>
                  <a:cubicBezTo>
                    <a:pt x="27" y="41"/>
                    <a:pt x="27" y="41"/>
                    <a:pt x="27" y="41"/>
                  </a:cubicBezTo>
                  <a:cubicBezTo>
                    <a:pt x="27" y="41"/>
                    <a:pt x="27" y="42"/>
                    <a:pt x="26" y="42"/>
                  </a:cubicBezTo>
                  <a:cubicBezTo>
                    <a:pt x="25" y="42"/>
                    <a:pt x="25" y="42"/>
                    <a:pt x="25" y="42"/>
                  </a:cubicBezTo>
                  <a:cubicBezTo>
                    <a:pt x="24" y="42"/>
                    <a:pt x="23" y="41"/>
                    <a:pt x="23" y="41"/>
                  </a:cubicBezTo>
                  <a:cubicBezTo>
                    <a:pt x="23" y="38"/>
                    <a:pt x="23" y="38"/>
                    <a:pt x="23" y="38"/>
                  </a:cubicBezTo>
                  <a:cubicBezTo>
                    <a:pt x="23" y="38"/>
                    <a:pt x="23" y="38"/>
                    <a:pt x="23" y="38"/>
                  </a:cubicBezTo>
                  <a:cubicBezTo>
                    <a:pt x="23" y="38"/>
                    <a:pt x="19" y="37"/>
                    <a:pt x="18" y="36"/>
                  </a:cubicBezTo>
                  <a:cubicBezTo>
                    <a:pt x="17" y="36"/>
                    <a:pt x="17" y="36"/>
                    <a:pt x="17" y="35"/>
                  </a:cubicBezTo>
                  <a:cubicBezTo>
                    <a:pt x="18" y="33"/>
                    <a:pt x="18" y="33"/>
                    <a:pt x="18" y="33"/>
                  </a:cubicBezTo>
                  <a:cubicBezTo>
                    <a:pt x="18" y="33"/>
                    <a:pt x="18" y="32"/>
                    <a:pt x="19" y="32"/>
                  </a:cubicBezTo>
                  <a:cubicBezTo>
                    <a:pt x="19" y="32"/>
                    <a:pt x="19" y="32"/>
                    <a:pt x="19" y="32"/>
                  </a:cubicBezTo>
                  <a:cubicBezTo>
                    <a:pt x="20" y="32"/>
                    <a:pt x="22" y="34"/>
                    <a:pt x="25" y="34"/>
                  </a:cubicBezTo>
                  <a:cubicBezTo>
                    <a:pt x="27" y="34"/>
                    <a:pt x="29" y="33"/>
                    <a:pt x="29" y="31"/>
                  </a:cubicBezTo>
                  <a:cubicBezTo>
                    <a:pt x="29" y="29"/>
                    <a:pt x="28" y="28"/>
                    <a:pt x="25" y="26"/>
                  </a:cubicBezTo>
                  <a:cubicBezTo>
                    <a:pt x="21" y="25"/>
                    <a:pt x="17" y="23"/>
                    <a:pt x="17" y="19"/>
                  </a:cubicBezTo>
                  <a:cubicBezTo>
                    <a:pt x="17" y="15"/>
                    <a:pt x="20" y="13"/>
                    <a:pt x="23" y="12"/>
                  </a:cubicBezTo>
                  <a:cubicBezTo>
                    <a:pt x="23" y="12"/>
                    <a:pt x="24" y="12"/>
                    <a:pt x="24" y="11"/>
                  </a:cubicBezTo>
                  <a:cubicBezTo>
                    <a:pt x="24" y="9"/>
                    <a:pt x="24" y="9"/>
                    <a:pt x="24" y="9"/>
                  </a:cubicBezTo>
                  <a:cubicBezTo>
                    <a:pt x="24" y="8"/>
                    <a:pt x="24" y="7"/>
                    <a:pt x="25" y="7"/>
                  </a:cubicBezTo>
                  <a:cubicBezTo>
                    <a:pt x="26" y="7"/>
                    <a:pt x="26" y="7"/>
                    <a:pt x="26" y="7"/>
                  </a:cubicBezTo>
                  <a:cubicBezTo>
                    <a:pt x="27" y="7"/>
                    <a:pt x="28" y="8"/>
                    <a:pt x="28" y="9"/>
                  </a:cubicBezTo>
                  <a:cubicBezTo>
                    <a:pt x="28" y="11"/>
                    <a:pt x="28" y="11"/>
                    <a:pt x="28" y="11"/>
                  </a:cubicBezTo>
                  <a:cubicBezTo>
                    <a:pt x="28" y="11"/>
                    <a:pt x="28" y="11"/>
                    <a:pt x="28" y="11"/>
                  </a:cubicBezTo>
                  <a:cubicBezTo>
                    <a:pt x="28" y="11"/>
                    <a:pt x="31" y="12"/>
                    <a:pt x="32" y="13"/>
                  </a:cubicBezTo>
                  <a:cubicBezTo>
                    <a:pt x="33" y="13"/>
                    <a:pt x="33" y="13"/>
                    <a:pt x="33" y="14"/>
                  </a:cubicBezTo>
                  <a:cubicBezTo>
                    <a:pt x="32" y="16"/>
                    <a:pt x="32" y="16"/>
                    <a:pt x="32" y="16"/>
                  </a:cubicBezTo>
                  <a:cubicBezTo>
                    <a:pt x="32" y="16"/>
                    <a:pt x="32" y="17"/>
                    <a:pt x="31" y="17"/>
                  </a:cubicBezTo>
                  <a:cubicBezTo>
                    <a:pt x="31" y="17"/>
                    <a:pt x="31" y="16"/>
                    <a:pt x="30" y="16"/>
                  </a:cubicBezTo>
                  <a:cubicBezTo>
                    <a:pt x="30" y="16"/>
                    <a:pt x="28" y="15"/>
                    <a:pt x="26" y="15"/>
                  </a:cubicBezTo>
                  <a:cubicBezTo>
                    <a:pt x="23" y="15"/>
                    <a:pt x="22" y="17"/>
                    <a:pt x="22" y="18"/>
                  </a:cubicBezTo>
                  <a:cubicBezTo>
                    <a:pt x="22" y="20"/>
                    <a:pt x="23" y="21"/>
                    <a:pt x="27" y="22"/>
                  </a:cubicBezTo>
                  <a:cubicBezTo>
                    <a:pt x="32" y="24"/>
                    <a:pt x="34" y="27"/>
                    <a:pt x="34" y="30"/>
                  </a:cubicBezTo>
                  <a:cubicBezTo>
                    <a:pt x="34" y="34"/>
                    <a:pt x="32" y="37"/>
                    <a:pt x="28" y="38"/>
                  </a:cubicBezTo>
                  <a:moveTo>
                    <a:pt x="25" y="0"/>
                  </a:moveTo>
                  <a:cubicBezTo>
                    <a:pt x="12" y="0"/>
                    <a:pt x="0" y="11"/>
                    <a:pt x="0" y="25"/>
                  </a:cubicBezTo>
                  <a:cubicBezTo>
                    <a:pt x="0" y="39"/>
                    <a:pt x="12" y="50"/>
                    <a:pt x="25" y="50"/>
                  </a:cubicBezTo>
                  <a:cubicBezTo>
                    <a:pt x="39" y="50"/>
                    <a:pt x="51" y="39"/>
                    <a:pt x="51" y="25"/>
                  </a:cubicBezTo>
                  <a:cubicBezTo>
                    <a:pt x="51" y="11"/>
                    <a:pt x="39" y="0"/>
                    <a:pt x="25" y="0"/>
                  </a:cubicBezTo>
                </a:path>
              </a:pathLst>
            </a:custGeom>
            <a:grpFill/>
            <a:ln w="9525">
              <a:noFill/>
              <a:round/>
              <a:headEnd/>
              <a:tailEnd/>
            </a:ln>
          </xdr:spPr>
          <xdr:txBody>
            <a:bodyPr vert="horz" wrap="square" lIns="91440" tIns="45720" rIns="91440" bIns="45720" numCol="1" anchor="t" anchorCtr="0" compatLnSpc="1">
              <a:prstTxWarp prst="textNoShape">
                <a:avLst/>
              </a:prstTxWarp>
            </a:bodyPr>
            <a:lstStyle>
              <a:defPPr lvl="0">
                <a:defRPr lang="en-GB"/>
              </a:defPPr>
              <a:lvl1pPr marL="0" lvl="1" algn="l" defTabSz="914400" rtl="0" eaLnBrk="1" latinLnBrk="0" hangingPunct="1">
                <a:defRPr sz="1800" kern="1200">
                  <a:solidFill>
                    <a:schemeClr val="tx1"/>
                  </a:solidFill>
                  <a:latin typeface="+mn-lt"/>
                  <a:ea typeface="+mn-ea"/>
                  <a:cs typeface="+mn-cs"/>
                </a:defRPr>
              </a:lvl1pPr>
              <a:lvl2pPr marL="457200" lvl="2" algn="l" defTabSz="914400" rtl="0" eaLnBrk="1" latinLnBrk="0" hangingPunct="1">
                <a:defRPr sz="1800" kern="1200">
                  <a:solidFill>
                    <a:schemeClr val="tx1"/>
                  </a:solidFill>
                  <a:latin typeface="+mn-lt"/>
                  <a:ea typeface="+mn-ea"/>
                  <a:cs typeface="+mn-cs"/>
                </a:defRPr>
              </a:lvl2pPr>
              <a:lvl3pPr marL="914400" lvl="3" algn="l" defTabSz="914400" rtl="0" eaLnBrk="1" latinLnBrk="0" hangingPunct="1">
                <a:defRPr sz="1800" kern="1200">
                  <a:solidFill>
                    <a:schemeClr val="tx1"/>
                  </a:solidFill>
                  <a:latin typeface="+mn-lt"/>
                  <a:ea typeface="+mn-ea"/>
                  <a:cs typeface="+mn-cs"/>
                </a:defRPr>
              </a:lvl3pPr>
              <a:lvl4pPr marL="1371600" lvl="4"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9" name="Freeform 28">
              <a:extLst>
                <a:ext uri="{FF2B5EF4-FFF2-40B4-BE49-F238E27FC236}">
                  <a16:creationId xmlns:a16="http://schemas.microsoft.com/office/drawing/2014/main" id="{00000000-0008-0000-0000-00001D000000}"/>
                </a:ext>
              </a:extLst>
            </xdr:cNvPr>
            <xdr:cNvSpPr>
              <a:spLocks/>
            </xdr:cNvSpPr>
          </xdr:nvSpPr>
          <xdr:spPr bwMode="auto">
            <a:xfrm>
              <a:off x="649288" y="2347912"/>
              <a:ext cx="273050" cy="339725"/>
            </a:xfrm>
            <a:custGeom>
              <a:avLst/>
              <a:gdLst/>
              <a:ahLst/>
              <a:cxnLst>
                <a:cxn ang="0">
                  <a:pos x="59" y="118"/>
                </a:cxn>
                <a:cxn ang="0">
                  <a:pos x="27" y="86"/>
                </a:cxn>
                <a:cxn ang="0">
                  <a:pos x="59" y="53"/>
                </a:cxn>
                <a:cxn ang="0">
                  <a:pos x="92" y="86"/>
                </a:cxn>
                <a:cxn ang="0">
                  <a:pos x="59" y="118"/>
                </a:cxn>
                <a:cxn ang="0">
                  <a:pos x="76" y="27"/>
                </a:cxn>
                <a:cxn ang="0">
                  <a:pos x="76" y="25"/>
                </a:cxn>
                <a:cxn ang="0">
                  <a:pos x="90" y="8"/>
                </a:cxn>
                <a:cxn ang="0">
                  <a:pos x="87" y="0"/>
                </a:cxn>
                <a:cxn ang="0">
                  <a:pos x="32" y="0"/>
                </a:cxn>
                <a:cxn ang="0">
                  <a:pos x="29" y="8"/>
                </a:cxn>
                <a:cxn ang="0">
                  <a:pos x="43" y="25"/>
                </a:cxn>
                <a:cxn ang="0">
                  <a:pos x="42" y="27"/>
                </a:cxn>
                <a:cxn ang="0">
                  <a:pos x="0" y="104"/>
                </a:cxn>
                <a:cxn ang="0">
                  <a:pos x="59" y="148"/>
                </a:cxn>
                <a:cxn ang="0">
                  <a:pos x="119" y="104"/>
                </a:cxn>
                <a:cxn ang="0">
                  <a:pos x="76" y="27"/>
                </a:cxn>
              </a:cxnLst>
              <a:rect l="0" t="0" r="r" b="b"/>
              <a:pathLst>
                <a:path w="119" h="148">
                  <a:moveTo>
                    <a:pt x="59" y="118"/>
                  </a:moveTo>
                  <a:cubicBezTo>
                    <a:pt x="41" y="118"/>
                    <a:pt x="27" y="104"/>
                    <a:pt x="27" y="86"/>
                  </a:cubicBezTo>
                  <a:cubicBezTo>
                    <a:pt x="27" y="68"/>
                    <a:pt x="41" y="53"/>
                    <a:pt x="59" y="53"/>
                  </a:cubicBezTo>
                  <a:cubicBezTo>
                    <a:pt x="78" y="53"/>
                    <a:pt x="92" y="68"/>
                    <a:pt x="92" y="86"/>
                  </a:cubicBezTo>
                  <a:cubicBezTo>
                    <a:pt x="92" y="104"/>
                    <a:pt x="78" y="118"/>
                    <a:pt x="59" y="118"/>
                  </a:cubicBezTo>
                  <a:moveTo>
                    <a:pt x="76" y="27"/>
                  </a:moveTo>
                  <a:cubicBezTo>
                    <a:pt x="76" y="26"/>
                    <a:pt x="75" y="26"/>
                    <a:pt x="76" y="25"/>
                  </a:cubicBezTo>
                  <a:cubicBezTo>
                    <a:pt x="90" y="8"/>
                    <a:pt x="90" y="8"/>
                    <a:pt x="90" y="8"/>
                  </a:cubicBezTo>
                  <a:cubicBezTo>
                    <a:pt x="94" y="4"/>
                    <a:pt x="92" y="0"/>
                    <a:pt x="87" y="0"/>
                  </a:cubicBezTo>
                  <a:cubicBezTo>
                    <a:pt x="32" y="0"/>
                    <a:pt x="32" y="0"/>
                    <a:pt x="32" y="0"/>
                  </a:cubicBezTo>
                  <a:cubicBezTo>
                    <a:pt x="27" y="0"/>
                    <a:pt x="25" y="4"/>
                    <a:pt x="29" y="8"/>
                  </a:cubicBezTo>
                  <a:cubicBezTo>
                    <a:pt x="43" y="25"/>
                    <a:pt x="43" y="25"/>
                    <a:pt x="43" y="25"/>
                  </a:cubicBezTo>
                  <a:cubicBezTo>
                    <a:pt x="44" y="26"/>
                    <a:pt x="43" y="27"/>
                    <a:pt x="42" y="27"/>
                  </a:cubicBezTo>
                  <a:cubicBezTo>
                    <a:pt x="18" y="40"/>
                    <a:pt x="0" y="78"/>
                    <a:pt x="0" y="104"/>
                  </a:cubicBezTo>
                  <a:cubicBezTo>
                    <a:pt x="0" y="137"/>
                    <a:pt x="27" y="148"/>
                    <a:pt x="59" y="148"/>
                  </a:cubicBezTo>
                  <a:cubicBezTo>
                    <a:pt x="92" y="148"/>
                    <a:pt x="119" y="137"/>
                    <a:pt x="119" y="104"/>
                  </a:cubicBezTo>
                  <a:cubicBezTo>
                    <a:pt x="119" y="77"/>
                    <a:pt x="101" y="40"/>
                    <a:pt x="76" y="27"/>
                  </a:cubicBezTo>
                </a:path>
              </a:pathLst>
            </a:custGeom>
            <a:grpFill/>
            <a:ln w="9525">
              <a:noFill/>
              <a:round/>
              <a:headEnd/>
              <a:tailEnd/>
            </a:ln>
          </xdr:spPr>
          <xdr:txBody>
            <a:bodyPr vert="horz" wrap="square" lIns="91440" tIns="45720" rIns="91440" bIns="45720" numCol="1" anchor="t" anchorCtr="0" compatLnSpc="1">
              <a:prstTxWarp prst="textNoShape">
                <a:avLst/>
              </a:prstTxWarp>
            </a:bodyPr>
            <a:lstStyle>
              <a:defPPr lvl="0">
                <a:defRPr lang="en-GB"/>
              </a:defPPr>
              <a:lvl1pPr marL="0" lvl="1" algn="l" defTabSz="914400" rtl="0" eaLnBrk="1" latinLnBrk="0" hangingPunct="1">
                <a:defRPr sz="1800" kern="1200">
                  <a:solidFill>
                    <a:schemeClr val="tx1"/>
                  </a:solidFill>
                  <a:latin typeface="+mn-lt"/>
                  <a:ea typeface="+mn-ea"/>
                  <a:cs typeface="+mn-cs"/>
                </a:defRPr>
              </a:lvl1pPr>
              <a:lvl2pPr marL="457200" lvl="2" algn="l" defTabSz="914400" rtl="0" eaLnBrk="1" latinLnBrk="0" hangingPunct="1">
                <a:defRPr sz="1800" kern="1200">
                  <a:solidFill>
                    <a:schemeClr val="tx1"/>
                  </a:solidFill>
                  <a:latin typeface="+mn-lt"/>
                  <a:ea typeface="+mn-ea"/>
                  <a:cs typeface="+mn-cs"/>
                </a:defRPr>
              </a:lvl2pPr>
              <a:lvl3pPr marL="914400" lvl="3" algn="l" defTabSz="914400" rtl="0" eaLnBrk="1" latinLnBrk="0" hangingPunct="1">
                <a:defRPr sz="1800" kern="1200">
                  <a:solidFill>
                    <a:schemeClr val="tx1"/>
                  </a:solidFill>
                  <a:latin typeface="+mn-lt"/>
                  <a:ea typeface="+mn-ea"/>
                  <a:cs typeface="+mn-cs"/>
                </a:defRPr>
              </a:lvl3pPr>
              <a:lvl4pPr marL="1371600" lvl="4"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1</xdr:col>
      <xdr:colOff>7620</xdr:colOff>
      <xdr:row>78</xdr:row>
      <xdr:rowOff>3810</xdr:rowOff>
    </xdr:from>
    <xdr:to>
      <xdr:col>9</xdr:col>
      <xdr:colOff>624840</xdr:colOff>
      <xdr:row>93</xdr:row>
      <xdr:rowOff>171450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59</xdr:row>
      <xdr:rowOff>0</xdr:rowOff>
    </xdr:from>
    <xdr:to>
      <xdr:col>9</xdr:col>
      <xdr:colOff>621030</xdr:colOff>
      <xdr:row>74</xdr:row>
      <xdr:rowOff>0</xdr:rowOff>
    </xdr:to>
    <xdr:graphicFrame macro="">
      <xdr:nvGraphicFramePr>
        <xdr:cNvPr id="23" name="Chart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83820</xdr:colOff>
      <xdr:row>75</xdr:row>
      <xdr:rowOff>148590</xdr:rowOff>
    </xdr:from>
    <xdr:to>
      <xdr:col>0</xdr:col>
      <xdr:colOff>515820</xdr:colOff>
      <xdr:row>77</xdr:row>
      <xdr:rowOff>71002</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83820" y="14885670"/>
          <a:ext cx="432000" cy="432952"/>
          <a:chOff x="83820" y="14093190"/>
          <a:chExt cx="432000" cy="432952"/>
        </a:xfrm>
      </xdr:grpSpPr>
      <xdr:sp macro="" textlink="">
        <xdr:nvSpPr>
          <xdr:cNvPr id="39" name="Oval 38">
            <a:extLst>
              <a:ext uri="{FF2B5EF4-FFF2-40B4-BE49-F238E27FC236}">
                <a16:creationId xmlns:a16="http://schemas.microsoft.com/office/drawing/2014/main" id="{00000000-0008-0000-0000-000027000000}"/>
              </a:ext>
            </a:extLst>
          </xdr:cNvPr>
          <xdr:cNvSpPr/>
        </xdr:nvSpPr>
        <xdr:spPr>
          <a:xfrm>
            <a:off x="83820" y="14093190"/>
            <a:ext cx="432000" cy="432952"/>
          </a:xfrm>
          <a:prstGeom prst="ellipse">
            <a:avLst/>
          </a:prstGeom>
          <a:solidFill>
            <a:srgbClr val="EA650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43" name="Freeform 42">
            <a:extLst>
              <a:ext uri="{FF2B5EF4-FFF2-40B4-BE49-F238E27FC236}">
                <a16:creationId xmlns:a16="http://schemas.microsoft.com/office/drawing/2014/main" id="{00000000-0008-0000-0000-00002B000000}"/>
              </a:ext>
            </a:extLst>
          </xdr:cNvPr>
          <xdr:cNvSpPr>
            <a:spLocks/>
          </xdr:cNvSpPr>
        </xdr:nvSpPr>
        <xdr:spPr bwMode="auto">
          <a:xfrm>
            <a:off x="141705" y="14176316"/>
            <a:ext cx="316230" cy="266700"/>
          </a:xfrm>
          <a:custGeom>
            <a:avLst/>
            <a:gdLst/>
            <a:ahLst/>
            <a:cxnLst>
              <a:cxn ang="0">
                <a:pos x="16" y="54"/>
              </a:cxn>
              <a:cxn ang="0">
                <a:pos x="14" y="57"/>
              </a:cxn>
              <a:cxn ang="0">
                <a:pos x="2" y="57"/>
              </a:cxn>
              <a:cxn ang="0">
                <a:pos x="0" y="54"/>
              </a:cxn>
              <a:cxn ang="0">
                <a:pos x="0" y="29"/>
              </a:cxn>
              <a:cxn ang="0">
                <a:pos x="2" y="26"/>
              </a:cxn>
              <a:cxn ang="0">
                <a:pos x="14" y="26"/>
              </a:cxn>
              <a:cxn ang="0">
                <a:pos x="16" y="29"/>
              </a:cxn>
              <a:cxn ang="0">
                <a:pos x="16" y="54"/>
              </a:cxn>
              <a:cxn ang="0">
                <a:pos x="7" y="47"/>
              </a:cxn>
              <a:cxn ang="0">
                <a:pos x="5" y="49"/>
              </a:cxn>
              <a:cxn ang="0">
                <a:pos x="7" y="52"/>
              </a:cxn>
              <a:cxn ang="0">
                <a:pos x="10" y="49"/>
              </a:cxn>
              <a:cxn ang="0">
                <a:pos x="7" y="47"/>
              </a:cxn>
              <a:cxn ang="0">
                <a:pos x="62" y="35"/>
              </a:cxn>
              <a:cxn ang="0">
                <a:pos x="62" y="38"/>
              </a:cxn>
              <a:cxn ang="0">
                <a:pos x="61" y="43"/>
              </a:cxn>
              <a:cxn ang="0">
                <a:pos x="61" y="48"/>
              </a:cxn>
              <a:cxn ang="0">
                <a:pos x="59" y="52"/>
              </a:cxn>
              <a:cxn ang="0">
                <a:pos x="57" y="59"/>
              </a:cxn>
              <a:cxn ang="0">
                <a:pos x="49" y="62"/>
              </a:cxn>
              <a:cxn ang="0">
                <a:pos x="47" y="62"/>
              </a:cxn>
              <a:cxn ang="0">
                <a:pos x="44" y="62"/>
              </a:cxn>
              <a:cxn ang="0">
                <a:pos x="43" y="62"/>
              </a:cxn>
              <a:cxn ang="0">
                <a:pos x="28" y="59"/>
              </a:cxn>
              <a:cxn ang="0">
                <a:pos x="22" y="57"/>
              </a:cxn>
              <a:cxn ang="0">
                <a:pos x="19" y="54"/>
              </a:cxn>
              <a:cxn ang="0">
                <a:pos x="19" y="29"/>
              </a:cxn>
              <a:cxn ang="0">
                <a:pos x="21" y="26"/>
              </a:cxn>
              <a:cxn ang="0">
                <a:pos x="29" y="19"/>
              </a:cxn>
              <a:cxn ang="0">
                <a:pos x="33" y="14"/>
              </a:cxn>
              <a:cxn ang="0">
                <a:pos x="35" y="8"/>
              </a:cxn>
              <a:cxn ang="0">
                <a:pos x="38" y="1"/>
              </a:cxn>
              <a:cxn ang="0">
                <a:pos x="40" y="0"/>
              </a:cxn>
              <a:cxn ang="0">
                <a:pos x="49" y="11"/>
              </a:cxn>
              <a:cxn ang="0">
                <a:pos x="46" y="18"/>
              </a:cxn>
              <a:cxn ang="0">
                <a:pos x="45" y="21"/>
              </a:cxn>
              <a:cxn ang="0">
                <a:pos x="56" y="21"/>
              </a:cxn>
              <a:cxn ang="0">
                <a:pos x="64" y="29"/>
              </a:cxn>
              <a:cxn ang="0">
                <a:pos x="62" y="35"/>
              </a:cxn>
            </a:cxnLst>
            <a:rect l="0" t="0" r="r" b="b"/>
            <a:pathLst>
              <a:path w="64" h="62">
                <a:moveTo>
                  <a:pt x="16" y="54"/>
                </a:moveTo>
                <a:cubicBezTo>
                  <a:pt x="16" y="56"/>
                  <a:pt x="15" y="57"/>
                  <a:pt x="14" y="57"/>
                </a:cubicBezTo>
                <a:cubicBezTo>
                  <a:pt x="2" y="57"/>
                  <a:pt x="2" y="57"/>
                  <a:pt x="2" y="57"/>
                </a:cubicBezTo>
                <a:cubicBezTo>
                  <a:pt x="1" y="57"/>
                  <a:pt x="0" y="56"/>
                  <a:pt x="0" y="54"/>
                </a:cubicBezTo>
                <a:cubicBezTo>
                  <a:pt x="0" y="29"/>
                  <a:pt x="0" y="29"/>
                  <a:pt x="0" y="29"/>
                </a:cubicBezTo>
                <a:cubicBezTo>
                  <a:pt x="0" y="27"/>
                  <a:pt x="1" y="26"/>
                  <a:pt x="2" y="26"/>
                </a:cubicBezTo>
                <a:cubicBezTo>
                  <a:pt x="14" y="26"/>
                  <a:pt x="14" y="26"/>
                  <a:pt x="14" y="26"/>
                </a:cubicBezTo>
                <a:cubicBezTo>
                  <a:pt x="15" y="26"/>
                  <a:pt x="16" y="27"/>
                  <a:pt x="16" y="29"/>
                </a:cubicBezTo>
                <a:lnTo>
                  <a:pt x="16" y="54"/>
                </a:lnTo>
                <a:close/>
                <a:moveTo>
                  <a:pt x="7" y="47"/>
                </a:moveTo>
                <a:cubicBezTo>
                  <a:pt x="6" y="47"/>
                  <a:pt x="5" y="48"/>
                  <a:pt x="5" y="49"/>
                </a:cubicBezTo>
                <a:cubicBezTo>
                  <a:pt x="5" y="51"/>
                  <a:pt x="6" y="52"/>
                  <a:pt x="7" y="52"/>
                </a:cubicBezTo>
                <a:cubicBezTo>
                  <a:pt x="9" y="52"/>
                  <a:pt x="10" y="51"/>
                  <a:pt x="10" y="49"/>
                </a:cubicBezTo>
                <a:cubicBezTo>
                  <a:pt x="10" y="48"/>
                  <a:pt x="9" y="47"/>
                  <a:pt x="7" y="47"/>
                </a:cubicBezTo>
                <a:close/>
                <a:moveTo>
                  <a:pt x="62" y="35"/>
                </a:moveTo>
                <a:cubicBezTo>
                  <a:pt x="62" y="36"/>
                  <a:pt x="62" y="37"/>
                  <a:pt x="62" y="38"/>
                </a:cubicBezTo>
                <a:cubicBezTo>
                  <a:pt x="62" y="40"/>
                  <a:pt x="62" y="42"/>
                  <a:pt x="61" y="43"/>
                </a:cubicBezTo>
                <a:cubicBezTo>
                  <a:pt x="61" y="45"/>
                  <a:pt x="61" y="46"/>
                  <a:pt x="61" y="48"/>
                </a:cubicBezTo>
                <a:cubicBezTo>
                  <a:pt x="60" y="49"/>
                  <a:pt x="60" y="51"/>
                  <a:pt x="59" y="52"/>
                </a:cubicBezTo>
                <a:cubicBezTo>
                  <a:pt x="59" y="55"/>
                  <a:pt x="58" y="57"/>
                  <a:pt x="57" y="59"/>
                </a:cubicBezTo>
                <a:cubicBezTo>
                  <a:pt x="55" y="61"/>
                  <a:pt x="52" y="62"/>
                  <a:pt x="49" y="62"/>
                </a:cubicBezTo>
                <a:cubicBezTo>
                  <a:pt x="48" y="62"/>
                  <a:pt x="48" y="62"/>
                  <a:pt x="47" y="62"/>
                </a:cubicBezTo>
                <a:cubicBezTo>
                  <a:pt x="44" y="62"/>
                  <a:pt x="44" y="62"/>
                  <a:pt x="44" y="62"/>
                </a:cubicBezTo>
                <a:cubicBezTo>
                  <a:pt x="43" y="62"/>
                  <a:pt x="43" y="62"/>
                  <a:pt x="43" y="62"/>
                </a:cubicBezTo>
                <a:cubicBezTo>
                  <a:pt x="38" y="62"/>
                  <a:pt x="32" y="60"/>
                  <a:pt x="28" y="59"/>
                </a:cubicBezTo>
                <a:cubicBezTo>
                  <a:pt x="25" y="58"/>
                  <a:pt x="23" y="57"/>
                  <a:pt x="22" y="57"/>
                </a:cubicBezTo>
                <a:cubicBezTo>
                  <a:pt x="20" y="57"/>
                  <a:pt x="19" y="56"/>
                  <a:pt x="19" y="54"/>
                </a:cubicBezTo>
                <a:cubicBezTo>
                  <a:pt x="19" y="29"/>
                  <a:pt x="19" y="29"/>
                  <a:pt x="19" y="29"/>
                </a:cubicBezTo>
                <a:cubicBezTo>
                  <a:pt x="19" y="27"/>
                  <a:pt x="20" y="26"/>
                  <a:pt x="21" y="26"/>
                </a:cubicBezTo>
                <a:cubicBezTo>
                  <a:pt x="23" y="26"/>
                  <a:pt x="27" y="21"/>
                  <a:pt x="29" y="19"/>
                </a:cubicBezTo>
                <a:cubicBezTo>
                  <a:pt x="30" y="17"/>
                  <a:pt x="31" y="15"/>
                  <a:pt x="33" y="14"/>
                </a:cubicBezTo>
                <a:cubicBezTo>
                  <a:pt x="34" y="13"/>
                  <a:pt x="35" y="10"/>
                  <a:pt x="35" y="8"/>
                </a:cubicBezTo>
                <a:cubicBezTo>
                  <a:pt x="36" y="5"/>
                  <a:pt x="36" y="3"/>
                  <a:pt x="38" y="1"/>
                </a:cubicBezTo>
                <a:cubicBezTo>
                  <a:pt x="38" y="1"/>
                  <a:pt x="39" y="0"/>
                  <a:pt x="40" y="0"/>
                </a:cubicBezTo>
                <a:cubicBezTo>
                  <a:pt x="49" y="0"/>
                  <a:pt x="49" y="8"/>
                  <a:pt x="49" y="11"/>
                </a:cubicBezTo>
                <a:cubicBezTo>
                  <a:pt x="49" y="14"/>
                  <a:pt x="47" y="16"/>
                  <a:pt x="46" y="18"/>
                </a:cubicBezTo>
                <a:cubicBezTo>
                  <a:pt x="46" y="19"/>
                  <a:pt x="46" y="20"/>
                  <a:pt x="45" y="21"/>
                </a:cubicBezTo>
                <a:cubicBezTo>
                  <a:pt x="56" y="21"/>
                  <a:pt x="56" y="21"/>
                  <a:pt x="56" y="21"/>
                </a:cubicBezTo>
                <a:cubicBezTo>
                  <a:pt x="60" y="21"/>
                  <a:pt x="64" y="25"/>
                  <a:pt x="64" y="29"/>
                </a:cubicBezTo>
                <a:cubicBezTo>
                  <a:pt x="64" y="31"/>
                  <a:pt x="63" y="33"/>
                  <a:pt x="62" y="35"/>
                </a:cubicBezTo>
                <a:close/>
              </a:path>
            </a:pathLst>
          </a:custGeom>
          <a:solidFill>
            <a:schemeClr val="bg1"/>
          </a:solidFill>
          <a:ln w="9525">
            <a:noFill/>
            <a:round/>
            <a:headEnd/>
            <a:tailEnd/>
          </a:ln>
        </xdr:spPr>
        <xdr:txBody>
          <a:bodyPr vert="horz" wrap="square" lIns="91440" tIns="45720" rIns="91440" bIns="45720" numCol="1" anchor="t" anchorCtr="0" compatLnSpc="1">
            <a:prstTxWarp prst="textNoShape">
              <a:avLst/>
            </a:prstTxWarp>
          </a:bodyPr>
          <a:lstStyle>
            <a:defPPr lvl="0">
              <a:defRPr lang="en-GB"/>
            </a:defPPr>
            <a:lvl1pPr marL="0" lvl="1" algn="l" defTabSz="914400" rtl="0" eaLnBrk="1" latinLnBrk="0" hangingPunct="1">
              <a:defRPr sz="1800" kern="1200">
                <a:solidFill>
                  <a:schemeClr val="tx1"/>
                </a:solidFill>
                <a:latin typeface="+mn-lt"/>
                <a:ea typeface="+mn-ea"/>
                <a:cs typeface="+mn-cs"/>
              </a:defRPr>
            </a:lvl1pPr>
            <a:lvl2pPr marL="457200" lvl="2" algn="l" defTabSz="914400" rtl="0" eaLnBrk="1" latinLnBrk="0" hangingPunct="1">
              <a:defRPr sz="1800" kern="1200">
                <a:solidFill>
                  <a:schemeClr val="tx1"/>
                </a:solidFill>
                <a:latin typeface="+mn-lt"/>
                <a:ea typeface="+mn-ea"/>
                <a:cs typeface="+mn-cs"/>
              </a:defRPr>
            </a:lvl2pPr>
            <a:lvl3pPr marL="914400" lvl="3" algn="l" defTabSz="914400" rtl="0" eaLnBrk="1" latinLnBrk="0" hangingPunct="1">
              <a:defRPr sz="1800" kern="1200">
                <a:solidFill>
                  <a:schemeClr val="tx1"/>
                </a:solidFill>
                <a:latin typeface="+mn-lt"/>
                <a:ea typeface="+mn-ea"/>
                <a:cs typeface="+mn-cs"/>
              </a:defRPr>
            </a:lvl3pPr>
            <a:lvl4pPr marL="1371600" lvl="4"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0</xdr:col>
      <xdr:colOff>83820</xdr:colOff>
      <xdr:row>56</xdr:row>
      <xdr:rowOff>156210</xdr:rowOff>
    </xdr:from>
    <xdr:to>
      <xdr:col>0</xdr:col>
      <xdr:colOff>515820</xdr:colOff>
      <xdr:row>58</xdr:row>
      <xdr:rowOff>78622</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83820" y="11273790"/>
          <a:ext cx="432000" cy="432952"/>
          <a:chOff x="83820" y="10481310"/>
          <a:chExt cx="432000" cy="432952"/>
        </a:xfrm>
      </xdr:grpSpPr>
      <xdr:sp macro="" textlink="">
        <xdr:nvSpPr>
          <xdr:cNvPr id="34" name="Oval 33">
            <a:extLst>
              <a:ext uri="{FF2B5EF4-FFF2-40B4-BE49-F238E27FC236}">
                <a16:creationId xmlns:a16="http://schemas.microsoft.com/office/drawing/2014/main" id="{00000000-0008-0000-0000-000022000000}"/>
              </a:ext>
            </a:extLst>
          </xdr:cNvPr>
          <xdr:cNvSpPr/>
        </xdr:nvSpPr>
        <xdr:spPr>
          <a:xfrm>
            <a:off x="83820" y="10481310"/>
            <a:ext cx="432000" cy="432952"/>
          </a:xfrm>
          <a:prstGeom prst="ellipse">
            <a:avLst/>
          </a:prstGeom>
          <a:solidFill>
            <a:srgbClr val="EA650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44" name="Freeform 43">
            <a:extLst>
              <a:ext uri="{FF2B5EF4-FFF2-40B4-BE49-F238E27FC236}">
                <a16:creationId xmlns:a16="http://schemas.microsoft.com/office/drawing/2014/main" id="{00000000-0008-0000-0000-00002C000000}"/>
              </a:ext>
            </a:extLst>
          </xdr:cNvPr>
          <xdr:cNvSpPr>
            <a:spLocks/>
          </xdr:cNvSpPr>
        </xdr:nvSpPr>
        <xdr:spPr bwMode="auto">
          <a:xfrm>
            <a:off x="177900" y="10564436"/>
            <a:ext cx="243840" cy="266700"/>
          </a:xfrm>
          <a:custGeom>
            <a:avLst/>
            <a:gdLst/>
            <a:ahLst/>
            <a:cxnLst>
              <a:cxn ang="0">
                <a:pos x="55" y="55"/>
              </a:cxn>
              <a:cxn ang="0">
                <a:pos x="39" y="55"/>
              </a:cxn>
              <a:cxn ang="0">
                <a:pos x="30" y="64"/>
              </a:cxn>
              <a:cxn ang="0">
                <a:pos x="21" y="55"/>
              </a:cxn>
              <a:cxn ang="0">
                <a:pos x="5" y="55"/>
              </a:cxn>
              <a:cxn ang="0">
                <a:pos x="0" y="50"/>
              </a:cxn>
              <a:cxn ang="0">
                <a:pos x="11" y="20"/>
              </a:cxn>
              <a:cxn ang="0">
                <a:pos x="27" y="5"/>
              </a:cxn>
              <a:cxn ang="0">
                <a:pos x="26" y="3"/>
              </a:cxn>
              <a:cxn ang="0">
                <a:pos x="30" y="0"/>
              </a:cxn>
              <a:cxn ang="0">
                <a:pos x="33" y="3"/>
              </a:cxn>
              <a:cxn ang="0">
                <a:pos x="33" y="5"/>
              </a:cxn>
              <a:cxn ang="0">
                <a:pos x="48" y="20"/>
              </a:cxn>
              <a:cxn ang="0">
                <a:pos x="59" y="50"/>
              </a:cxn>
              <a:cxn ang="0">
                <a:pos x="55" y="55"/>
              </a:cxn>
              <a:cxn ang="0">
                <a:pos x="30" y="60"/>
              </a:cxn>
              <a:cxn ang="0">
                <a:pos x="25" y="55"/>
              </a:cxn>
              <a:cxn ang="0">
                <a:pos x="24" y="54"/>
              </a:cxn>
              <a:cxn ang="0">
                <a:pos x="23" y="55"/>
              </a:cxn>
              <a:cxn ang="0">
                <a:pos x="30" y="61"/>
              </a:cxn>
              <a:cxn ang="0">
                <a:pos x="30" y="60"/>
              </a:cxn>
              <a:cxn ang="0">
                <a:pos x="30" y="60"/>
              </a:cxn>
            </a:cxnLst>
            <a:rect l="0" t="0" r="r" b="b"/>
            <a:pathLst>
              <a:path w="59" h="64">
                <a:moveTo>
                  <a:pt x="55" y="55"/>
                </a:moveTo>
                <a:cubicBezTo>
                  <a:pt x="39" y="55"/>
                  <a:pt x="39" y="55"/>
                  <a:pt x="39" y="55"/>
                </a:cubicBezTo>
                <a:cubicBezTo>
                  <a:pt x="39" y="60"/>
                  <a:pt x="35" y="64"/>
                  <a:pt x="30" y="64"/>
                </a:cubicBezTo>
                <a:cubicBezTo>
                  <a:pt x="25" y="64"/>
                  <a:pt x="21" y="60"/>
                  <a:pt x="21" y="55"/>
                </a:cubicBezTo>
                <a:cubicBezTo>
                  <a:pt x="5" y="55"/>
                  <a:pt x="5" y="55"/>
                  <a:pt x="5" y="55"/>
                </a:cubicBezTo>
                <a:cubicBezTo>
                  <a:pt x="2" y="55"/>
                  <a:pt x="0" y="53"/>
                  <a:pt x="0" y="50"/>
                </a:cubicBezTo>
                <a:cubicBezTo>
                  <a:pt x="5" y="46"/>
                  <a:pt x="11" y="38"/>
                  <a:pt x="11" y="20"/>
                </a:cubicBezTo>
                <a:cubicBezTo>
                  <a:pt x="11" y="13"/>
                  <a:pt x="17" y="6"/>
                  <a:pt x="27" y="5"/>
                </a:cubicBezTo>
                <a:cubicBezTo>
                  <a:pt x="26" y="4"/>
                  <a:pt x="26" y="4"/>
                  <a:pt x="26" y="3"/>
                </a:cubicBezTo>
                <a:cubicBezTo>
                  <a:pt x="26" y="1"/>
                  <a:pt x="28" y="0"/>
                  <a:pt x="30" y="0"/>
                </a:cubicBezTo>
                <a:cubicBezTo>
                  <a:pt x="32" y="0"/>
                  <a:pt x="33" y="1"/>
                  <a:pt x="33" y="3"/>
                </a:cubicBezTo>
                <a:cubicBezTo>
                  <a:pt x="33" y="4"/>
                  <a:pt x="33" y="4"/>
                  <a:pt x="33" y="5"/>
                </a:cubicBezTo>
                <a:cubicBezTo>
                  <a:pt x="42" y="6"/>
                  <a:pt x="48" y="13"/>
                  <a:pt x="48" y="20"/>
                </a:cubicBezTo>
                <a:cubicBezTo>
                  <a:pt x="48" y="38"/>
                  <a:pt x="54" y="46"/>
                  <a:pt x="59" y="50"/>
                </a:cubicBezTo>
                <a:cubicBezTo>
                  <a:pt x="59" y="53"/>
                  <a:pt x="57" y="55"/>
                  <a:pt x="55" y="55"/>
                </a:cubicBezTo>
                <a:close/>
                <a:moveTo>
                  <a:pt x="30" y="60"/>
                </a:moveTo>
                <a:cubicBezTo>
                  <a:pt x="27" y="60"/>
                  <a:pt x="25" y="57"/>
                  <a:pt x="25" y="55"/>
                </a:cubicBezTo>
                <a:cubicBezTo>
                  <a:pt x="25" y="54"/>
                  <a:pt x="24" y="54"/>
                  <a:pt x="24" y="54"/>
                </a:cubicBezTo>
                <a:cubicBezTo>
                  <a:pt x="24" y="54"/>
                  <a:pt x="23" y="54"/>
                  <a:pt x="23" y="55"/>
                </a:cubicBezTo>
                <a:cubicBezTo>
                  <a:pt x="23" y="58"/>
                  <a:pt x="26" y="61"/>
                  <a:pt x="30" y="61"/>
                </a:cubicBezTo>
                <a:cubicBezTo>
                  <a:pt x="30" y="61"/>
                  <a:pt x="30" y="61"/>
                  <a:pt x="30" y="60"/>
                </a:cubicBezTo>
                <a:cubicBezTo>
                  <a:pt x="30" y="60"/>
                  <a:pt x="30" y="60"/>
                  <a:pt x="30" y="60"/>
                </a:cubicBezTo>
                <a:close/>
              </a:path>
            </a:pathLst>
          </a:custGeom>
          <a:solidFill>
            <a:schemeClr val="bg1"/>
          </a:solidFill>
          <a:ln w="9525">
            <a:noFill/>
            <a:round/>
            <a:headEnd/>
            <a:tailEnd/>
          </a:ln>
        </xdr:spPr>
        <xdr:txBody>
          <a:bodyPr vert="horz" wrap="square" lIns="91440" tIns="45720" rIns="91440" bIns="45720" numCol="1" anchor="t" anchorCtr="0" compatLnSpc="1">
            <a:prstTxWarp prst="textNoShape">
              <a:avLst/>
            </a:prstTxWarp>
          </a:bodyPr>
          <a:lstStyle>
            <a:defPPr lvl="0">
              <a:defRPr lang="en-GB"/>
            </a:defPPr>
            <a:lvl1pPr marL="0" lvl="1" algn="l" defTabSz="914400" rtl="0" eaLnBrk="1" latinLnBrk="0" hangingPunct="1">
              <a:defRPr sz="1800" kern="1200">
                <a:solidFill>
                  <a:schemeClr val="tx1"/>
                </a:solidFill>
                <a:latin typeface="+mn-lt"/>
                <a:ea typeface="+mn-ea"/>
                <a:cs typeface="+mn-cs"/>
              </a:defRPr>
            </a:lvl1pPr>
            <a:lvl2pPr marL="457200" lvl="2" algn="l" defTabSz="914400" rtl="0" eaLnBrk="1" latinLnBrk="0" hangingPunct="1">
              <a:defRPr sz="1800" kern="1200">
                <a:solidFill>
                  <a:schemeClr val="tx1"/>
                </a:solidFill>
                <a:latin typeface="+mn-lt"/>
                <a:ea typeface="+mn-ea"/>
                <a:cs typeface="+mn-cs"/>
              </a:defRPr>
            </a:lvl2pPr>
            <a:lvl3pPr marL="914400" lvl="3" algn="l" defTabSz="914400" rtl="0" eaLnBrk="1" latinLnBrk="0" hangingPunct="1">
              <a:defRPr sz="1800" kern="1200">
                <a:solidFill>
                  <a:schemeClr val="tx1"/>
                </a:solidFill>
                <a:latin typeface="+mn-lt"/>
                <a:ea typeface="+mn-ea"/>
                <a:cs typeface="+mn-cs"/>
              </a:defRPr>
            </a:lvl3pPr>
            <a:lvl4pPr marL="1371600" lvl="4"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editAs="oneCell">
    <xdr:from>
      <xdr:col>0</xdr:col>
      <xdr:colOff>0</xdr:colOff>
      <xdr:row>0</xdr:row>
      <xdr:rowOff>0</xdr:rowOff>
    </xdr:from>
    <xdr:to>
      <xdr:col>1</xdr:col>
      <xdr:colOff>114300</xdr:colOff>
      <xdr:row>1</xdr:row>
      <xdr:rowOff>20136</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0" y="176213"/>
          <a:ext cx="762000" cy="434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0"/>
  <sheetViews>
    <sheetView showGridLines="0" showRowColHeaders="0" zoomScaleNormal="100" workbookViewId="0">
      <selection activeCell="N5" sqref="N5"/>
    </sheetView>
  </sheetViews>
  <sheetFormatPr baseColWidth="10" defaultColWidth="8.88671875" defaultRowHeight="14.4" x14ac:dyDescent="0.3"/>
  <cols>
    <col min="3" max="3" width="11.6640625" customWidth="1"/>
    <col min="4" max="4" width="9.33203125" customWidth="1"/>
    <col min="5" max="5" width="9.77734375" customWidth="1"/>
    <col min="7" max="7" width="10.88671875" bestFit="1" customWidth="1"/>
    <col min="11" max="11" width="9" customWidth="1"/>
    <col min="12" max="12" width="2.33203125" customWidth="1"/>
  </cols>
  <sheetData>
    <row r="1" spans="1:35" ht="32.700000000000003" customHeight="1" x14ac:dyDescent="0.3"/>
    <row r="2" spans="1:35" ht="4.5" customHeight="1" x14ac:dyDescent="0.3"/>
    <row r="3" spans="1:35" x14ac:dyDescent="0.3">
      <c r="M3" s="34" t="str">
        <f>IF(N3="NL","Langue","Taal")</f>
        <v>Taal</v>
      </c>
      <c r="N3" s="38" t="s">
        <v>6</v>
      </c>
    </row>
    <row r="5" spans="1:35" x14ac:dyDescent="0.3">
      <c r="M5" s="34" t="str">
        <f>IF(N3="NL","Ga naar","Vers")</f>
        <v>Vers</v>
      </c>
      <c r="N5" s="37" t="str">
        <f>IF(N3="NL","parameters","paramètres")</f>
        <v>paramètres</v>
      </c>
    </row>
    <row r="12" spans="1:35" x14ac:dyDescent="0.3">
      <c r="AI12" t="str">
        <f>IF(pensioen!B3=D4,"2. Pensioensparen","2. IPT")</f>
        <v>2. Pensioensparen</v>
      </c>
    </row>
    <row r="16" spans="1:35" ht="25.8" x14ac:dyDescent="0.5">
      <c r="A16" s="1" t="str">
        <f>IF(N3="NL","Optimaliseer je aanvullend pensioen als zelfstandige","Optimisez votre pension complémentaire en tant qu'indépendant")</f>
        <v>Optimisez votre pension complémentaire en tant qu'indépendant</v>
      </c>
    </row>
    <row r="19" spans="2:11" ht="25.8" x14ac:dyDescent="0.5">
      <c r="B19" s="1" t="str">
        <f>IF(N3="NL","Je profiel","Votre profil")</f>
        <v>Votre profil</v>
      </c>
    </row>
    <row r="21" spans="2:11" x14ac:dyDescent="0.3">
      <c r="B21" t="str">
        <f>IF(N3="NL","Geboortedatum","Date de naissance")</f>
        <v>Date de naissance</v>
      </c>
      <c r="F21" t="str">
        <f>IF(N3="NL","Start huidige activiteit","Début de l'activité actuelle")</f>
        <v>Début de l'activité actuelle</v>
      </c>
      <c r="I21" t="str">
        <f>IF(N3="NL","Netto belastbaar jaarinkomen","Revenu annuel net imposable")</f>
        <v>Revenu annuel net imposable</v>
      </c>
    </row>
    <row r="22" spans="2:11" x14ac:dyDescent="0.3">
      <c r="B22" s="50">
        <v>29221</v>
      </c>
      <c r="C22" s="53"/>
      <c r="F22" s="50">
        <v>40179</v>
      </c>
      <c r="G22" s="51"/>
      <c r="I22" s="32">
        <f>YEAR(data!P2)</f>
        <v>2019</v>
      </c>
      <c r="J22" s="42">
        <v>45000</v>
      </c>
      <c r="K22" s="43"/>
    </row>
    <row r="24" spans="2:11" x14ac:dyDescent="0.3">
      <c r="B24" t="str">
        <f>IF(N3="NL","Burgerlijke staat","Etat civil")</f>
        <v>Etat civil</v>
      </c>
      <c r="F24" t="str">
        <f>IF(N3="NL","Start loopbaan","Début de carrière")</f>
        <v>Début de carrière</v>
      </c>
      <c r="I24" s="32">
        <f>I22-1</f>
        <v>2018</v>
      </c>
      <c r="J24" s="42">
        <v>36000</v>
      </c>
      <c r="K24" s="43"/>
    </row>
    <row r="25" spans="2:11" x14ac:dyDescent="0.3">
      <c r="B25" s="52" t="s">
        <v>14</v>
      </c>
      <c r="C25" s="54"/>
      <c r="D25" s="53"/>
      <c r="F25" s="50">
        <v>37987</v>
      </c>
      <c r="G25" s="51"/>
    </row>
    <row r="26" spans="2:11" x14ac:dyDescent="0.3">
      <c r="I26" s="32">
        <f>I24-1</f>
        <v>2017</v>
      </c>
      <c r="J26" s="42">
        <v>36000</v>
      </c>
      <c r="K26" s="43"/>
    </row>
    <row r="27" spans="2:11" x14ac:dyDescent="0.3">
      <c r="B27" t="str">
        <f>IF(N3="NL","Statuut","Statut")</f>
        <v>Statut</v>
      </c>
      <c r="F27" t="str">
        <f>IF(N3="NL","Pensioenleeftijd","Age de la pension")</f>
        <v>Age de la pension</v>
      </c>
    </row>
    <row r="28" spans="2:11" x14ac:dyDescent="0.3">
      <c r="B28" s="52" t="s">
        <v>8</v>
      </c>
      <c r="C28" s="54"/>
      <c r="D28" s="53"/>
      <c r="F28" s="52">
        <v>67</v>
      </c>
      <c r="G28" s="53"/>
      <c r="I28" s="32">
        <f>I26-1</f>
        <v>2016</v>
      </c>
      <c r="J28" s="44">
        <v>36000</v>
      </c>
      <c r="K28" s="45"/>
    </row>
    <row r="30" spans="2:11" x14ac:dyDescent="0.3">
      <c r="K30" s="8"/>
    </row>
    <row r="31" spans="2:11" ht="25.8" x14ac:dyDescent="0.5">
      <c r="B31" s="1" t="str">
        <f>IF(N3="NL","Hoeveel pensioenkapitaal heb je nodig?","De quel capital pension avez-vous besoin ?")</f>
        <v>De quel capital pension avez-vous besoin ?</v>
      </c>
    </row>
    <row r="33" spans="2:13" x14ac:dyDescent="0.3">
      <c r="B33" s="48" t="str">
        <f>IF(N3="NL","Je huidige maandinkomen","Votre revenu mensuel actuel")</f>
        <v>Votre revenu mensuel actuel</v>
      </c>
      <c r="C33" s="48"/>
      <c r="E33" s="48" t="str">
        <f>IF(N3="NL","Schatting van je wettelijke pensioen (1)","Estimation de votre pension légale (1)")</f>
        <v>Estimation de votre pension légale (1)</v>
      </c>
      <c r="F33" s="48"/>
      <c r="H33" s="48" t="str">
        <f>IF(N3="NL","Je aan te vullen pensioentekort","Votre déficit pension à compléter")</f>
        <v>Votre déficit pension à compléter</v>
      </c>
      <c r="I33" s="48"/>
      <c r="K33" s="6"/>
      <c r="L33" s="6"/>
    </row>
    <row r="34" spans="2:13" x14ac:dyDescent="0.3">
      <c r="B34" s="49"/>
      <c r="C34" s="49"/>
      <c r="E34" s="49"/>
      <c r="F34" s="49"/>
      <c r="H34" s="49"/>
      <c r="I34" s="49"/>
      <c r="K34" s="6"/>
      <c r="L34" s="6"/>
    </row>
    <row r="35" spans="2:13" x14ac:dyDescent="0.3">
      <c r="B35" s="46">
        <f>J22/12</f>
        <v>3750</v>
      </c>
      <c r="C35" s="47"/>
      <c r="D35" s="3" t="s">
        <v>16</v>
      </c>
      <c r="E35" s="46">
        <f>data!AI4/12*(data!AI6+data!AI7)/45</f>
        <v>1189.8864444444444</v>
      </c>
      <c r="F35" s="47"/>
      <c r="G35" s="3" t="s">
        <v>17</v>
      </c>
      <c r="H35" s="46">
        <f>MAX(B35-E35,0)</f>
        <v>2560.1135555555556</v>
      </c>
      <c r="I35" s="47"/>
    </row>
    <row r="37" spans="2:13" x14ac:dyDescent="0.3">
      <c r="B37" t="str">
        <f>IF(N3="NL","Welk kapitaal stemt overeen met je pensioentekort? (2)","Quel capital correspond à votre déficit pension (2)")</f>
        <v>Quel capital correspond à votre déficit pension (2)</v>
      </c>
      <c r="H37" s="55">
        <f>PV((1+data!AX4)/(1+data!AZ4)-1,(parameters!C6-F28)*12,-H35,,0)</f>
        <v>632668.78920106997</v>
      </c>
      <c r="I37" s="56"/>
    </row>
    <row r="39" spans="2:13" x14ac:dyDescent="0.3">
      <c r="K39" s="4"/>
    </row>
    <row r="40" spans="2:13" ht="25.8" x14ac:dyDescent="0.5">
      <c r="B40" s="1" t="str">
        <f>IF(N3="NL","Hoe kan je best jouw pensioenkapitaal opbouwen?","Comment constituer votre capital pension ?")</f>
        <v>Comment constituer votre capital pension ?</v>
      </c>
    </row>
    <row r="42" spans="2:13" ht="29.85" customHeight="1" thickBot="1" x14ac:dyDescent="0.35">
      <c r="B42" s="57" t="str">
        <f>IF(N3="NL","Je plan","Votre plan")</f>
        <v>Votre plan</v>
      </c>
      <c r="C42" s="57"/>
      <c r="D42" s="57" t="str">
        <f>IF(N3="NL","Bruto jaarpremie","Prime annuelle 
brute")</f>
        <v>Prime annuelle 
brute</v>
      </c>
      <c r="E42" s="57"/>
      <c r="F42" s="57" t="str">
        <f>IF(N3="NL","Schatting fiscaal voordeel (3)","Estimation de l'avantage fiscal (3)")</f>
        <v>Estimation de l'avantage fiscal (3)</v>
      </c>
      <c r="G42" s="57"/>
      <c r="H42" s="57" t="str">
        <f>IF(N3="NL","Schatting 
netto kapitaal (4)","Estimation 
du capital net (4)")</f>
        <v>Estimation 
du capital net (4)</v>
      </c>
      <c r="I42" s="57"/>
      <c r="J42" s="58"/>
      <c r="K42" s="58"/>
      <c r="L42" s="17" t="s">
        <v>29</v>
      </c>
    </row>
    <row r="43" spans="2:13" ht="15" thickTop="1" x14ac:dyDescent="0.3">
      <c r="B43" s="10" t="str">
        <f>IF(N3="NL","1. VAPZ","1. PLCI")</f>
        <v>1. PLCI</v>
      </c>
      <c r="C43" s="11"/>
      <c r="D43" s="59">
        <f ca="1">data!AP10</f>
        <v>3127.5736439183988</v>
      </c>
      <c r="E43" s="59"/>
      <c r="F43" s="59">
        <f ca="1">data!AQ10</f>
        <v>1789.7742879081779</v>
      </c>
      <c r="G43" s="59"/>
      <c r="H43" s="59">
        <f ca="1">data!AS10</f>
        <v>70943.454039954348</v>
      </c>
      <c r="I43" s="59"/>
      <c r="J43" s="61"/>
      <c r="K43" s="61"/>
      <c r="L43" s="63">
        <f ca="1">PMT((1+data!$AX$4)/(1+data!$AZ$4)-1,(parameters!$C$6-$F$28)*12,-H43)</f>
        <v>287.07485095790884</v>
      </c>
    </row>
    <row r="44" spans="2:13" x14ac:dyDescent="0.3">
      <c r="B44" s="12" t="s">
        <v>77</v>
      </c>
      <c r="C44" s="13"/>
      <c r="D44" s="60"/>
      <c r="E44" s="60"/>
      <c r="F44" s="60"/>
      <c r="G44" s="60"/>
      <c r="H44" s="60"/>
      <c r="I44" s="60"/>
      <c r="J44" s="61"/>
      <c r="K44" s="61"/>
      <c r="L44" s="63"/>
      <c r="M44" s="5"/>
    </row>
    <row r="45" spans="2:13" x14ac:dyDescent="0.3">
      <c r="B45" s="14" t="str">
        <f>IF(B28=data!D3,IF(N3="NL","2. Pensioensparen","2. Epargne pension"),IF(N3="NL","2. IPT","2. EIP"))</f>
        <v>2. EIP</v>
      </c>
      <c r="C45" s="14"/>
      <c r="D45" s="62">
        <f ca="1">data!AP11</f>
        <v>10939.408792063867</v>
      </c>
      <c r="E45" s="62"/>
      <c r="F45" s="62">
        <f ca="1">data!AQ11</f>
        <v>3235.8771206924921</v>
      </c>
      <c r="G45" s="62"/>
      <c r="H45" s="62">
        <f ca="1">data!AS11</f>
        <v>373700.05889089458</v>
      </c>
      <c r="I45" s="62"/>
      <c r="J45" s="61"/>
      <c r="K45" s="61"/>
      <c r="L45" s="63">
        <f ca="1">PMT((1+data!$AX$4)/(1+data!$AZ$4)-1,(parameters!$C$6-$F$28)*12,-H45)</f>
        <v>1512.1886883129037</v>
      </c>
    </row>
    <row r="46" spans="2:13" x14ac:dyDescent="0.3">
      <c r="B46" s="12" t="str">
        <f>IF(B28=data!D3,IF(N3="NL","NN Strategy Fiscaal","NN Strategy Fiscal"),"Scala Privilege")</f>
        <v>Scala Privilege</v>
      </c>
      <c r="C46" s="13"/>
      <c r="D46" s="60"/>
      <c r="E46" s="60"/>
      <c r="F46" s="60"/>
      <c r="G46" s="60"/>
      <c r="H46" s="60"/>
      <c r="I46" s="60"/>
      <c r="J46" s="61"/>
      <c r="K46" s="61"/>
      <c r="L46" s="63"/>
      <c r="M46" s="5"/>
    </row>
    <row r="47" spans="2:13" x14ac:dyDescent="0.3">
      <c r="B47" s="14" t="str">
        <f>IF(B28=data!D3,IF(N3="NL","3. Langetermijnsparen","3 Epargne longe terme"),IF(N3="NL","3. Pensioensparen","3. Epargne pension"))</f>
        <v>3. Epargne pension</v>
      </c>
      <c r="C47" s="14"/>
      <c r="D47" s="62">
        <f ca="1">data!AP12</f>
        <v>980.00000000000114</v>
      </c>
      <c r="E47" s="62"/>
      <c r="F47" s="62">
        <f ca="1">data!AQ12</f>
        <v>314.58000000000038</v>
      </c>
      <c r="G47" s="62"/>
      <c r="H47" s="62">
        <f ca="1">data!AS12</f>
        <v>38980.478887451129</v>
      </c>
      <c r="I47" s="62"/>
      <c r="J47" s="61"/>
      <c r="K47" s="61"/>
      <c r="L47" s="63">
        <f ca="1">PMT((1+data!$AX$4)/(1+data!$AZ$4)-1,(parameters!$C$6-$F$28)*12,-H47)</f>
        <v>157.73569694789202</v>
      </c>
    </row>
    <row r="48" spans="2:13" x14ac:dyDescent="0.3">
      <c r="B48" s="12" t="str">
        <f>IF(N3="NL","NN Strategy fiscaal","NN Strategy fiscal")</f>
        <v>NN Strategy fiscal</v>
      </c>
      <c r="C48" s="13"/>
      <c r="D48" s="60"/>
      <c r="E48" s="60"/>
      <c r="F48" s="60"/>
      <c r="G48" s="60"/>
      <c r="H48" s="60"/>
      <c r="I48" s="60"/>
      <c r="J48" s="61"/>
      <c r="K48" s="61"/>
      <c r="L48" s="63"/>
      <c r="M48" s="5"/>
    </row>
    <row r="49" spans="2:12" x14ac:dyDescent="0.3">
      <c r="B49" s="14" t="str">
        <f>IF(B28=data!D3,IF(N3="NL","4. POZ","4. CPTI"),IF(N3="NL","4. Langetermijnsparen","4. Epargne long terme"))</f>
        <v>4. Epargne long terme</v>
      </c>
      <c r="C49" s="14"/>
      <c r="D49" s="62">
        <f ca="1">data!AP13</f>
        <v>2350.0000000000032</v>
      </c>
      <c r="E49" s="62"/>
      <c r="F49" s="62">
        <f ca="1">data!AQ13</f>
        <v>754.35000000000116</v>
      </c>
      <c r="G49" s="62"/>
      <c r="H49" s="62">
        <f ca="1">data!AS13</f>
        <v>90258.492251010932</v>
      </c>
      <c r="I49" s="62"/>
      <c r="J49" s="61"/>
      <c r="K49" s="61"/>
      <c r="L49" s="63">
        <f ca="1">PMT((1+data!$AX$4)/(1+data!$AZ$4)-1,(parameters!$C$6-$F$28)*12,-H49)</f>
        <v>365.23374229920995</v>
      </c>
    </row>
    <row r="50" spans="2:12" x14ac:dyDescent="0.3">
      <c r="B50" s="12" t="str">
        <f>IF(B28=data!D3,IF(N3="NL","Business Pension POZ","Business Pension CPTI"),IF(N3="NL","NN Strategy fiscaal","NN Strategy fiscal"))</f>
        <v>NN Strategy fiscal</v>
      </c>
      <c r="C50" s="13"/>
      <c r="D50" s="60"/>
      <c r="E50" s="60"/>
      <c r="F50" s="60"/>
      <c r="G50" s="60"/>
      <c r="H50" s="60"/>
      <c r="I50" s="60"/>
      <c r="J50" s="61"/>
      <c r="K50" s="61"/>
      <c r="L50" s="63"/>
    </row>
    <row r="51" spans="2:12" x14ac:dyDescent="0.3">
      <c r="B51" t="str">
        <f>IF(N3="NL","5. Vrij sparen","5. Epargne libre")</f>
        <v>5. Epargne libre</v>
      </c>
      <c r="D51" s="61">
        <f ca="1">data!AP14</f>
        <v>1421.7135236381775</v>
      </c>
      <c r="E51" s="61"/>
      <c r="F51" s="61">
        <f>data!AQ14</f>
        <v>0</v>
      </c>
      <c r="G51" s="61"/>
      <c r="H51" s="61">
        <f ca="1">data!AS14</f>
        <v>58786.305131759029</v>
      </c>
      <c r="I51" s="61"/>
      <c r="J51" s="61"/>
      <c r="K51" s="61"/>
      <c r="L51" s="63">
        <f ca="1">PMT((1+data!$AX$4)/(1+data!$AZ$4)-1,(parameters!$C$6-$F$28)*12,-H51)</f>
        <v>237.88057703761521</v>
      </c>
    </row>
    <row r="52" spans="2:12" x14ac:dyDescent="0.3">
      <c r="B52" s="7" t="str">
        <f>IF(N3="NL","NN Strategy Niet-fiscaal","NN Strategy Non fiscal")</f>
        <v>NN Strategy Non fiscal</v>
      </c>
      <c r="D52" s="61"/>
      <c r="E52" s="61"/>
      <c r="F52" s="61"/>
      <c r="G52" s="61"/>
      <c r="H52" s="61"/>
      <c r="I52" s="61"/>
      <c r="J52" s="61"/>
      <c r="K52" s="61"/>
      <c r="L52" s="63"/>
    </row>
    <row r="53" spans="2:12" x14ac:dyDescent="0.3">
      <c r="B53" s="9" t="str">
        <f>IF(N3="NL","Totaal","Total")</f>
        <v>Total</v>
      </c>
      <c r="C53" s="9"/>
      <c r="D53" s="65">
        <f ca="1">SUM(D43:E52)</f>
        <v>18818.695959620447</v>
      </c>
      <c r="E53" s="65"/>
      <c r="F53" s="65">
        <f t="shared" ref="F53" ca="1" si="0">SUM(F43:G52)</f>
        <v>6094.5814086006712</v>
      </c>
      <c r="G53" s="65"/>
      <c r="H53" s="65">
        <f t="shared" ref="H53" ca="1" si="1">SUM(H43:I52)</f>
        <v>632668.78920106997</v>
      </c>
      <c r="I53" s="65"/>
      <c r="J53" s="66"/>
      <c r="K53" s="66"/>
      <c r="L53" s="15"/>
    </row>
    <row r="55" spans="2:12" x14ac:dyDescent="0.3">
      <c r="B55" t="str">
        <f ca="1">IF(D53=0,"",IF(B28=data!D3,IF(N3="NL","Je fiscaal voordeel bedraagt in totaal ","Votre avantage fiscal s'élève au total à ")&amp;ROUND(F53/D53,2)*100&amp;IF(N3="NL","% van je jaarlijkse premie.","% de la prime annuelle."),IF(N3="NL","Je vennootschap betaalt ","Votre société paie ")&amp;ROUND(pensioen!D45/pensioen!D53,2)*100&amp;IF(N3="NL","% van de totale premie en kan deze aftrekken als bedrijfslast.","% de la prime totale qu'elle peut déduire fiscalement.")))</f>
        <v>Votre société paie 58% de la prime totale qu'elle peut déduire fiscalement.</v>
      </c>
    </row>
    <row r="56" spans="2:12" x14ac:dyDescent="0.3">
      <c r="B56" t="str">
        <f ca="1">IF(D53=0,"",IF(B28=data!D3,"",IF(N3="NL","Op de premie die je persoonlijk betaalt geniet je een fiscaal voordeel van ","Vous bénéficiez d'un avantage fiscal de ")&amp;ROUND((F53-F45)/(D53-D45),2)*100&amp;"%"&amp;IF(N3="NL","."," sur la prime que vous payez personnellement.")))</f>
        <v>Vous bénéficiez d'un avantage fiscal de 36% sur la prime que vous payez personnellement.</v>
      </c>
    </row>
    <row r="58" spans="2:12" ht="25.8" x14ac:dyDescent="0.5">
      <c r="B58" s="1" t="str">
        <f>IF(N3="NL","Je situatie zonder pensioenplan","Votre situation sans plan de pension")</f>
        <v>Votre situation sans plan de pension</v>
      </c>
    </row>
    <row r="77" spans="2:2" ht="25.8" x14ac:dyDescent="0.5">
      <c r="B77" s="1" t="str">
        <f>IF(N3="NL","Je situatie met een geoptimaliseerd pensioenplan","Votre situation avec un plan de pension optimisé")</f>
        <v>Votre situation avec un plan de pension optimisé</v>
      </c>
    </row>
    <row r="96" spans="2:11" ht="59.1" customHeight="1" x14ac:dyDescent="0.3">
      <c r="B96" s="67" t="str">
        <f>data!L6</f>
        <v>Le plan de pension idéal optimise non seulement votre avantage fiscal, mais également votre rendement financier. Ne cherchez pas aveuglément les rendements garantis qui ne dépassent même pas le taux d'inflation. Investissez selon votre profil et horizon de placement. Votre courtier vous donnera le meilleur conseil de placement.</v>
      </c>
      <c r="C96" s="67"/>
      <c r="D96" s="67"/>
      <c r="E96" s="67"/>
      <c r="F96" s="67"/>
      <c r="G96" s="67"/>
      <c r="H96" s="67"/>
      <c r="I96" s="67"/>
      <c r="J96" s="67"/>
      <c r="K96" s="39"/>
    </row>
    <row r="98" spans="2:11" x14ac:dyDescent="0.3">
      <c r="B98" s="35" t="str">
        <f>IF(N3="NL","(1) 25% van je netto belastbaar inkomen, beperkt tot het wettelijk pensioenplafond. De schatting is ten minste gelijk aan het minimumpensioen.","(1) 25% de votre revenu net imposable, limité au plafond de pension légal. L'estimation est au moins égale à la pension minimum.")</f>
        <v>(1) 25% de votre revenu net imposable, limité au plafond de pension légal. L'estimation est au moins égale à la pension minimum.</v>
      </c>
    </row>
    <row r="99" spans="2:11" x14ac:dyDescent="0.3">
      <c r="B99" s="36" t="str">
        <f>IF(N3="NL","(2) We schatten dit bedrag rekening houdend met een levensverwachting van "&amp;parameters!C6&amp;" jaar, een actualisatievoet van "&amp;parameters!C8*100&amp;"% en een inflatie van "&amp;parameters!C10*100&amp;"% per jaar.","(2) Nous estimons ce montant en tenant compte d'une espérence vie de "&amp;parameters!C6&amp;" ans, d'un taux d'actualisation de "&amp;parameters!C8*100&amp;"% et d'un taux d'inflation de "&amp;parameters!C10*100&amp;"% par an.")</f>
        <v>(2) Nous estimons ce montant en tenant compte d'une espérence vie de 90 ans, d'un taux d'actualisation de 3% et d'un taux d'inflation de 2% par an.</v>
      </c>
    </row>
    <row r="100" spans="2:11" x14ac:dyDescent="0.3">
      <c r="B100" s="36" t="str">
        <f>IF(N3="NL","(3) Het fiscale voordeel is louter een schatting en niet bindend. Het werkelijke voordeel kan afwijken van deze schatting. ","(3) Le calcul de l'avantage fiscal n'est qu'une pure estimation qui ne lie en aucun cas les parties. L'avantage réel peut dériver de cette estimation. ")</f>
        <v xml:space="preserve">(3) Le calcul de l'avantage fiscal n'est qu'une pure estimation qui ne lie en aucun cas les parties. L'avantage réel peut dériver de cette estimation. </v>
      </c>
    </row>
    <row r="101" spans="2:11" ht="14.4" customHeight="1" x14ac:dyDescent="0.3">
      <c r="B101" s="64" t="str">
        <f>IF(N3="NL","Deze schatting houdt rekening met een kost van het sociale verzekeringsfonds van "&amp;data!Y18*100&amp;"% en gemeentelijke opcentiemen van "&amp;data!Y16*100&amp;"%.","Cette estimation tient compte de frais de la caisse sociale de "&amp;data!Y18*100&amp;"% et des taxes communales de "&amp;data!Y16*100&amp;"%.")</f>
        <v>Cette estimation tient compte de frais de la caisse sociale de 3,5% et des taxes communales de 7%.</v>
      </c>
      <c r="C101" s="64"/>
      <c r="D101" s="64"/>
      <c r="E101" s="64"/>
      <c r="F101" s="64"/>
      <c r="G101" s="64"/>
      <c r="H101" s="64"/>
      <c r="I101" s="64"/>
      <c r="J101" s="64"/>
      <c r="K101" s="64"/>
    </row>
    <row r="102" spans="2:11" x14ac:dyDescent="0.3">
      <c r="B102" s="36" t="str">
        <f>IF(N3="NL","(4) We schatten dit kapitaal op basis van de fiscale regels per "&amp;DAY(data!P2)&amp;"/"&amp;MONTH(data!P2)&amp;"/"&amp;YEAR(data!P2)&amp;" en rekening houdend met volgende productparameters:","(4) Nous estimons ce capital sur base des règles fiscales en vigueur au "&amp;DAY(data!P2)&amp;"/"&amp;MONTH(data!P2)&amp;"/"&amp;YEAR(data!P2)&amp;" et en tenant compte des paramètres suivants :")</f>
        <v>(4) Nous estimons ce capital sur base des règles fiscales en vigueur au 1/3/2019 et en tenant compte des paramètres suivants :</v>
      </c>
    </row>
    <row r="103" spans="2:11" x14ac:dyDescent="0.3">
      <c r="B103" s="35" t="str">
        <f ca="1">IF(N3="NL","- VAPZ: premietaks 0%, rendement 0%, instapkost "&amp;(data!AN2+parameters!C12)*100&amp;"%, startdatum plan "&amp;DAY(parameters!C4)&amp;"/"&amp;MONTH(parameters!C4)&amp;"/"&amp;YEAR(parameters!C4)&amp;", eindleeftijd "&amp;F28&amp;" jaar","- PLCI : taxe sur primes 0%, rendement 0%, frais d'entrée "&amp;(data!AN2+parameters!C12)*100&amp;"%, date d'effet du plan "&amp;DAY(parameters!C4)&amp;"/"&amp;MONTH(parameters!C4)&amp;"/"&amp;YEAR(parameters!C4)&amp;", âge terme "&amp;F28&amp;" ans")</f>
        <v>- PLCI : taxe sur primes 0%, rendement 0%, frais d'entrée 2,5%, date d'effet du plan 20/6/2019, âge terme 67 ans</v>
      </c>
    </row>
    <row r="104" spans="2:11" x14ac:dyDescent="0.3">
      <c r="B104" s="35" t="str">
        <f ca="1">IF(N3="NL",IF(B28=data!D3,"- Pensioensparen: premietaks 0%, rendement "&amp;parameters!C8*100&amp;"%, instapkost "&amp;(data!AN5+parameters!C12)*100&amp;"%","- IPT: premietaks 4,4%, rendement "&amp;parameters!C8*100&amp;"%, instapkost "&amp;(data!AN3+parameters!C12)*100&amp;"%")&amp;", startdatum plan "&amp;DAY(parameters!C4)&amp;"/"&amp;MONTH(parameters!C4)&amp;"/"&amp;YEAR(parameters!C4)&amp;", eindleeftijd "&amp;F28&amp;" jaar",IF(B28=data!D3,"- Epargne pension : taxe sur prime 0%, rendement "&amp;parameters!C8*100&amp;"%, frais d'entrée "&amp;(data!AN5+parameters!C12)*100&amp;"%","- EIP : taxe sur prime 4,4%, rendement "&amp;parameters!C8*100&amp;"%, frais d'entrée "&amp;(data!AN3+parameters!C12)*100&amp;"%")&amp;", date d'effet du plan "&amp;DAY(parameters!C4)&amp;"/"&amp;MONTH(parameters!C4)&amp;"/"&amp;YEAR(parameters!C4)&amp;", âge terme "&amp;F28&amp;" ans")</f>
        <v>- EIP : taxe sur prime 4,4%, rendement 3%, frais d'entrée 2,25%, date d'effet du plan 20/6/2019, âge terme 67 ans</v>
      </c>
    </row>
    <row r="105" spans="2:11" x14ac:dyDescent="0.3">
      <c r="B105" s="35" t="str">
        <f ca="1">IF(N3="NL",IF(B28=data!D3,"- Langetermijnsparen: premietaks 2%, rendement "&amp;parameters!C8*100&amp;"%, instapkost "&amp;(data!AN6+parameters!C12)*100&amp;"%","- Pensioensparen: premietaks 0%, rendement "&amp;parameters!C8*100&amp;"%, instapkost "&amp;(data!AN5+parameters!C12)*100&amp;"%")&amp;", startdatum plan "&amp;DAY(parameters!C4)&amp;"/"&amp;MONTH(parameters!C4)&amp;"/"&amp;YEAR(parameters!C4)&amp;", eindleeftijd "&amp;F28&amp;" jaar",IF(B28=data!D3,"- Epargne longe terme : taxe sur primes 2%, rendement "&amp;parameters!C8*100&amp;"%, frais d'entrée "&amp;(data!AN6+parameters!C12)*100&amp;"%","- Epargne pension : taxe sur primes 0%, rendement "&amp;parameters!C8*100&amp;"%, frais d'entrée "&amp;(data!AN5+parameters!C12)*100&amp;"%")&amp;", date d'effet du plan "&amp;DAY(parameters!C4)&amp;"/"&amp;MONTH(parameters!C4)&amp;"/"&amp;YEAR(parameters!C4)&amp;", âge terme "&amp;F28&amp;" ans")</f>
        <v>- Epargne pension : taxe sur primes 0%, rendement 3%, frais d'entrée 2,5%, date d'effet du plan 20/6/2019, âge terme 67 ans</v>
      </c>
    </row>
    <row r="106" spans="2:11" x14ac:dyDescent="0.3">
      <c r="B106" s="35" t="str">
        <f ca="1">IF(N3="NL",IF(B28=data!D3,"- POZ: premietaks 4,4%, rendement "&amp;parameters!C8*100&amp;"%, instapkost "&amp;(data!AN4+parameters!C12)*100&amp;"%","- Langetermijnsparen: premietaks 2%, rendement "&amp;parameters!C8*100&amp;"%, instapkost "&amp;(data!AN6+parameters!C12)*100&amp;"%")&amp;", startdatum plan "&amp;DAY(parameters!C4)&amp;"/"&amp;MONTH(parameters!C4)&amp;"/"&amp;YEAR(parameters!C4)&amp;", eindleeftijd "&amp;F28&amp;" jaar",IF(B28=data!D3,"- CPTI : taxe sur primes 4,4%, rendement "&amp;parameters!C8*100&amp;"%, frais d'entrée "&amp;(data!AN4+parameters!C12)*100&amp;"%","- Epargne longe terme : taxe sur primes 2%, rendement "&amp;parameters!C8*100&amp;"%, frais d'entrée "&amp;(data!AN6+parameters!C12)*100&amp;"%")&amp;", date d'effet du plan "&amp;DAY(parameters!C4)&amp;"/"&amp;MONTH(parameters!C4)&amp;"/"&amp;YEAR(parameters!C4)&amp;", âge terme "&amp;F28&amp;" ans")</f>
        <v>- Epargne longe terme : taxe sur primes 2%, rendement 3%, frais d'entrée 2,5%, date d'effet du plan 20/6/2019, âge terme 67 ans</v>
      </c>
    </row>
    <row r="107" spans="2:11" x14ac:dyDescent="0.3">
      <c r="B107" s="35" t="str">
        <f ca="1">IF(N3="NL","- Vrij sparen: premietaks 2%, rendement 0%, instapkost "&amp;(data!AN7+parameters!C12)*100&amp;"%"&amp;", startdatum plan "&amp;DAY(parameters!C4)&amp;"/"&amp;MONTH(parameters!C4)&amp;"/"&amp;YEAR(parameters!C4)&amp;", eindleeftijd "&amp;F28&amp;" jaar","- Epargne libre : taxe sur primes 2%, rendement 0%, frais d'entrée "&amp;(data!AN7+parameters!C12)*100&amp;"%"&amp;", date d'effet du plan "&amp;DAY(parameters!C4)&amp;"/"&amp;MONTH(parameters!C4)&amp;"/"&amp;YEAR(parameters!C4)&amp;", âge terme "&amp;F28&amp;" ans")</f>
        <v>- Epargne libre : taxe sur primes 2%, rendement 0%, frais d'entrée 2,5%, date d'effet du plan 20/6/2019, âge terme 67 ans</v>
      </c>
    </row>
    <row r="108" spans="2:11" ht="36.299999999999997" customHeight="1" x14ac:dyDescent="0.3">
      <c r="B108" s="64" t="str">
        <f>data!L3</f>
        <v>Cette simulation n'est qu'une pure estimation de votre capital pension et elle ne lie en aucun cas les partis, n'est pas valable en tant qu'offre et présume que les capitaux soient attribués au plus tôt à l'âge légal de la pension au bénéficiaire qui est resté 'effectivement actif' jusqu'à cet âge. Les montants réellement assurés peuvent dériver de cette simulation.</v>
      </c>
      <c r="C108" s="64"/>
      <c r="D108" s="64"/>
      <c r="E108" s="64"/>
      <c r="F108" s="64"/>
      <c r="G108" s="64"/>
      <c r="H108" s="64"/>
      <c r="I108" s="64"/>
      <c r="J108" s="64"/>
      <c r="K108" s="64"/>
    </row>
    <row r="109" spans="2:11" ht="47.7" customHeight="1" x14ac:dyDescent="0.3">
      <c r="B109" s="64" t="str">
        <f>data!L4</f>
        <v xml:space="preserve">Le présent document n'est pas un document contractuel. Par conséquent, ni le destinataire, ni le lecteur ne peut en tirer un quelconque droit ou avantage. Ces informations sont données à titre informatif. Bien que NN Insurance Belgium détienne ces informations de sources fiables et de qualité, elle ne garantit pas l'exactitude de ces informations. NN Insurance Belgium ne peut être tenue responsable d'un quelconque dommage (direct ou indirect) qui pourrait résulter de l'utilisation de ces informations. </v>
      </c>
      <c r="C109" s="64"/>
      <c r="D109" s="64"/>
      <c r="E109" s="64"/>
      <c r="F109" s="64"/>
      <c r="G109" s="64"/>
      <c r="H109" s="64"/>
      <c r="I109" s="64"/>
      <c r="J109" s="64"/>
      <c r="K109" s="64"/>
    </row>
    <row r="110" spans="2:11" ht="38.1" customHeight="1" x14ac:dyDescent="0.3">
      <c r="B110" s="64" t="str">
        <f>data!L5</f>
        <v>NN Insurance Belgium SA, prêteur en crédit hypothécaire agréé par la FSMA et entreprise d’assurances agréée par la BNB sous le numéro 2550 pour les Branches 1a, 2, 21, 22, 23, 25, 26. Siège social : Avenue Fonsny 38, B-1060 Bruxelles - RPM Bruxelles - TVA BE 0890.270.057 - BIC : BBRUBEBB - IBAN : BE28 3100 7627 4220.</v>
      </c>
      <c r="C110" s="64"/>
      <c r="D110" s="64"/>
      <c r="E110" s="64"/>
      <c r="F110" s="64"/>
      <c r="G110" s="64"/>
      <c r="H110" s="64"/>
      <c r="I110" s="64"/>
      <c r="J110" s="64"/>
      <c r="K110" s="64"/>
    </row>
  </sheetData>
  <sheetProtection password="8ED6" sheet="1" objects="1" scenarios="1" selectLockedCells="1"/>
  <mergeCells count="56">
    <mergeCell ref="B109:K109"/>
    <mergeCell ref="B101:K101"/>
    <mergeCell ref="B110:K110"/>
    <mergeCell ref="B108:K108"/>
    <mergeCell ref="D53:E53"/>
    <mergeCell ref="F53:G53"/>
    <mergeCell ref="H53:I53"/>
    <mergeCell ref="J53:K53"/>
    <mergeCell ref="B96:J96"/>
    <mergeCell ref="D49:E50"/>
    <mergeCell ref="F49:G50"/>
    <mergeCell ref="H49:I50"/>
    <mergeCell ref="J49:K50"/>
    <mergeCell ref="D51:E52"/>
    <mergeCell ref="F51:G52"/>
    <mergeCell ref="H51:I52"/>
    <mergeCell ref="J51:K52"/>
    <mergeCell ref="L43:L44"/>
    <mergeCell ref="L45:L46"/>
    <mergeCell ref="L47:L48"/>
    <mergeCell ref="L49:L50"/>
    <mergeCell ref="L51:L52"/>
    <mergeCell ref="H45:I46"/>
    <mergeCell ref="J45:K46"/>
    <mergeCell ref="D47:E48"/>
    <mergeCell ref="F47:G48"/>
    <mergeCell ref="H47:I48"/>
    <mergeCell ref="J47:K48"/>
    <mergeCell ref="D45:E46"/>
    <mergeCell ref="F45:G46"/>
    <mergeCell ref="J42:K42"/>
    <mergeCell ref="D43:E44"/>
    <mergeCell ref="F43:G44"/>
    <mergeCell ref="H43:I44"/>
    <mergeCell ref="J43:K44"/>
    <mergeCell ref="H37:I37"/>
    <mergeCell ref="B42:C42"/>
    <mergeCell ref="D42:E42"/>
    <mergeCell ref="F42:G42"/>
    <mergeCell ref="H42:I42"/>
    <mergeCell ref="J22:K22"/>
    <mergeCell ref="J28:K28"/>
    <mergeCell ref="H35:I35"/>
    <mergeCell ref="B33:C34"/>
    <mergeCell ref="E33:F34"/>
    <mergeCell ref="H33:I34"/>
    <mergeCell ref="F22:G22"/>
    <mergeCell ref="F25:G25"/>
    <mergeCell ref="F28:G28"/>
    <mergeCell ref="B28:D28"/>
    <mergeCell ref="B22:C22"/>
    <mergeCell ref="B25:D25"/>
    <mergeCell ref="B35:C35"/>
    <mergeCell ref="E35:F35"/>
    <mergeCell ref="J24:K24"/>
    <mergeCell ref="J26:K26"/>
  </mergeCells>
  <dataValidations count="3">
    <dataValidation type="list" allowBlank="1" showInputMessage="1" showErrorMessage="1" sqref="N3" xr:uid="{00000000-0002-0000-0000-000000000000}">
      <formula1>"NL,FR"</formula1>
    </dataValidation>
    <dataValidation type="date" allowBlank="1" showInputMessage="1" showErrorMessage="1" error="Min 01/01/1900 - Max 01/01/2100" sqref="B22:C22 F22:G22 F25:G25" xr:uid="{00000000-0002-0000-0000-000001000000}">
      <formula1>1</formula1>
      <formula2>73051</formula2>
    </dataValidation>
    <dataValidation type="decimal" allowBlank="1" showInputMessage="1" showErrorMessage="1" error="Min 0 - Max 10.000.000" sqref="J28:K28 J26:K26 J24:K24 J22:K22" xr:uid="{00000000-0002-0000-0000-000002000000}">
      <formula1>0</formula1>
      <formula2>10000000</formula2>
    </dataValidation>
  </dataValidations>
  <hyperlinks>
    <hyperlink ref="N5" location="parameters!A1" display="parameters!A1" xr:uid="{00000000-0004-0000-0000-000000000000}"/>
  </hyperlinks>
  <printOptions horizontalCentered="1"/>
  <pageMargins left="0.31496062992125984" right="0.31496062992125984" top="0.35433070866141736" bottom="0.35433070866141736" header="0.31496062992125984" footer="0.31496062992125984"/>
  <pageSetup paperSize="9" scale="80" orientation="portrait" r:id="rId1"/>
  <rowBreaks count="1" manualBreakCount="1">
    <brk id="56" max="10"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data!$D$3:$D$4</xm:f>
          </x14:formula1>
          <xm:sqref>B28</xm:sqref>
        </x14:dataValidation>
        <x14:dataValidation type="list" allowBlank="1" showInputMessage="1" showErrorMessage="1" xr:uid="{00000000-0002-0000-0000-000004000000}">
          <x14:formula1>
            <xm:f>data!$H$3:$H$4</xm:f>
          </x14:formula1>
          <xm:sqref>B25:D25</xm:sqref>
        </x14:dataValidation>
        <x14:dataValidation type="list" allowBlank="1" showInputMessage="1" showErrorMessage="1" xr:uid="{00000000-0002-0000-0000-000005000000}">
          <x14:formula1>
            <xm:f>data!$N$2:$N$5</xm:f>
          </x14:formula1>
          <xm:sqref>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4"/>
  <sheetViews>
    <sheetView showGridLines="0" showRowColHeaders="0" tabSelected="1" workbookViewId="0">
      <selection activeCell="G1" sqref="G1"/>
    </sheetView>
  </sheetViews>
  <sheetFormatPr baseColWidth="10" defaultColWidth="8.88671875" defaultRowHeight="14.4" x14ac:dyDescent="0.3"/>
  <cols>
    <col min="2" max="2" width="25.77734375" customWidth="1"/>
    <col min="3" max="3" width="10" bestFit="1" customWidth="1"/>
    <col min="7" max="7" width="12.109375" customWidth="1"/>
  </cols>
  <sheetData>
    <row r="1" spans="2:7" ht="25.8" x14ac:dyDescent="0.5">
      <c r="B1" s="1" t="str">
        <f>IF(pensioen!N3="NL","Parameters","Paramètres")</f>
        <v>Paramètres</v>
      </c>
      <c r="F1" s="34" t="str">
        <f>IF(pensioen!N3="NL","Ga naar","Vers")</f>
        <v>Vers</v>
      </c>
      <c r="G1" s="37" t="s">
        <v>73</v>
      </c>
    </row>
    <row r="2" spans="2:7" ht="15.75" customHeight="1" x14ac:dyDescent="0.5">
      <c r="B2" s="1"/>
    </row>
    <row r="4" spans="2:7" x14ac:dyDescent="0.3">
      <c r="B4" t="str">
        <f>IF(pensioen!N3="NL","Berekeningsdatum","Date de calcul")</f>
        <v>Date de calcul</v>
      </c>
      <c r="C4" s="50">
        <f ca="1">NOW()</f>
        <v>43636.728602314812</v>
      </c>
      <c r="D4" s="53"/>
    </row>
    <row r="6" spans="2:7" x14ac:dyDescent="0.3">
      <c r="B6" t="str">
        <f>IF(pensioen!N3="NL","Levensverwachting (in jaren)","Espérence de vie (en années)")</f>
        <v>Espérence de vie (en années)</v>
      </c>
      <c r="C6" s="52">
        <v>90</v>
      </c>
      <c r="D6" s="53" t="s">
        <v>30</v>
      </c>
    </row>
    <row r="8" spans="2:7" x14ac:dyDescent="0.3">
      <c r="B8" t="str">
        <f>IF(pensioen!N3="NL","Jaarlijks rendement","Rendement annuel")</f>
        <v>Rendement annuel</v>
      </c>
      <c r="C8" s="68">
        <v>0.03</v>
      </c>
      <c r="D8" s="69"/>
    </row>
    <row r="9" spans="2:7" x14ac:dyDescent="0.3">
      <c r="C9" s="21"/>
      <c r="D9" s="21"/>
    </row>
    <row r="10" spans="2:7" x14ac:dyDescent="0.3">
      <c r="B10" t="str">
        <f>IF(pensioen!N3="NL","Inflatie op jaarbasis","Taux d'inflation sur base annuel")</f>
        <v>Taux d'inflation sur base annuel</v>
      </c>
      <c r="C10" s="68">
        <v>0.02</v>
      </c>
      <c r="D10" s="69"/>
    </row>
    <row r="11" spans="2:7" x14ac:dyDescent="0.3">
      <c r="C11" s="21"/>
      <c r="D11" s="21"/>
    </row>
    <row r="12" spans="2:7" x14ac:dyDescent="0.3">
      <c r="B12" t="str">
        <f>IF(pensioen!N3="NL","Inningsvergoeding","Rémunération d'encaissement")</f>
        <v>Rémunération d'encaissement</v>
      </c>
      <c r="C12" s="68">
        <v>0.02</v>
      </c>
      <c r="D12" s="69"/>
    </row>
    <row r="14" spans="2:7" x14ac:dyDescent="0.3">
      <c r="C14" s="5"/>
    </row>
  </sheetData>
  <sheetProtection algorithmName="SHA-512" hashValue="j/P1u96AXuXc7l/ee8ZGYRHOPgq4mNu4gPLEoz8Su21whsGBlhqKya451uyrl6uBqy5NNkHEpWnBuq1fbEc1RA==" saltValue="FE6A0aiJCzPI8d88210nGQ==" spinCount="100000" sheet="1" objects="1" scenarios="1" selectLockedCells="1"/>
  <mergeCells count="5">
    <mergeCell ref="C6:D6"/>
    <mergeCell ref="C4:D4"/>
    <mergeCell ref="C8:D8"/>
    <mergeCell ref="C10:D10"/>
    <mergeCell ref="C12:D12"/>
  </mergeCells>
  <dataValidations count="5">
    <dataValidation type="decimal" allowBlank="1" showInputMessage="1" showErrorMessage="1" error="Min 0% - Max 5%" sqref="C8:D8" xr:uid="{00000000-0002-0000-0100-000000000000}">
      <formula1>0</formula1>
      <formula2>0.05</formula2>
    </dataValidation>
    <dataValidation type="decimal" allowBlank="1" showInputMessage="1" showErrorMessage="1" error="Min 0% - Max 3%" sqref="C10:D10" xr:uid="{00000000-0002-0000-0100-000001000000}">
      <formula1>0</formula1>
      <formula2>0.03</formula2>
    </dataValidation>
    <dataValidation type="decimal" allowBlank="1" showInputMessage="1" showErrorMessage="1" error="Min 0% - Max 4%" sqref="C12:D12" xr:uid="{00000000-0002-0000-0100-000002000000}">
      <formula1>0</formula1>
      <formula2>0.04</formula2>
    </dataValidation>
    <dataValidation type="whole" allowBlank="1" showInputMessage="1" showErrorMessage="1" error="Min 70 - Max 100" sqref="C6:D6" xr:uid="{00000000-0002-0000-0100-000003000000}">
      <formula1>70</formula1>
      <formula2>100</formula2>
    </dataValidation>
    <dataValidation type="date" allowBlank="1" showInputMessage="1" showErrorMessage="1" error="Min 01/01/2018 - Max 01/01/2100" sqref="C4:D4" xr:uid="{00000000-0002-0000-0100-000004000000}">
      <formula1>43101</formula1>
      <formula2>73051</formula2>
    </dataValidation>
  </dataValidations>
  <hyperlinks>
    <hyperlink ref="G1" location="pensioen!A1" display="pension planner"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20"/>
  <sheetViews>
    <sheetView workbookViewId="0">
      <selection activeCell="AI14" sqref="AI14"/>
    </sheetView>
  </sheetViews>
  <sheetFormatPr baseColWidth="10" defaultColWidth="8.88671875" defaultRowHeight="14.4" x14ac:dyDescent="0.3"/>
  <cols>
    <col min="14" max="14" width="13.21875" bestFit="1" customWidth="1"/>
    <col min="15" max="15" width="13.21875" customWidth="1"/>
    <col min="16" max="16" width="9.5546875" bestFit="1" customWidth="1"/>
    <col min="17" max="17" width="16" customWidth="1"/>
    <col min="18" max="22" width="13.88671875" customWidth="1"/>
    <col min="24" max="24" width="24.6640625" bestFit="1" customWidth="1"/>
    <col min="29" max="29" width="11.5546875" bestFit="1" customWidth="1"/>
    <col min="30" max="30" width="10.33203125" bestFit="1" customWidth="1"/>
    <col min="31" max="31" width="14.44140625" bestFit="1" customWidth="1"/>
    <col min="32" max="32" width="19.88671875" bestFit="1" customWidth="1"/>
    <col min="34" max="34" width="33.44140625" customWidth="1"/>
    <col min="35" max="35" width="13.33203125" customWidth="1"/>
    <col min="36" max="36" width="12" bestFit="1" customWidth="1"/>
    <col min="39" max="39" width="17.33203125" customWidth="1"/>
    <col min="40" max="40" width="12.44140625" customWidth="1"/>
    <col min="41" max="41" width="10.5546875" customWidth="1"/>
    <col min="42" max="42" width="13.88671875" bestFit="1" customWidth="1"/>
    <col min="43" max="43" width="20.88671875" bestFit="1" customWidth="1"/>
    <col min="44" max="44" width="20.44140625" bestFit="1" customWidth="1"/>
    <col min="45" max="45" width="20.33203125" bestFit="1" customWidth="1"/>
    <col min="46" max="46" width="11" bestFit="1" customWidth="1"/>
    <col min="50" max="50" width="15.44140625" bestFit="1" customWidth="1"/>
    <col min="52" max="52" width="11.5546875" bestFit="1" customWidth="1"/>
    <col min="54" max="54" width="19.33203125" customWidth="1"/>
    <col min="55" max="55" width="9.88671875" customWidth="1"/>
    <col min="56" max="56" width="8.88671875" bestFit="1" customWidth="1"/>
  </cols>
  <sheetData>
    <row r="1" spans="1:56" ht="23.85" customHeight="1" x14ac:dyDescent="0.3">
      <c r="A1" t="s">
        <v>4</v>
      </c>
      <c r="B1" t="s">
        <v>1</v>
      </c>
      <c r="F1" t="s">
        <v>10</v>
      </c>
      <c r="N1" t="s">
        <v>0</v>
      </c>
      <c r="O1" t="s">
        <v>31</v>
      </c>
      <c r="P1" t="s">
        <v>80</v>
      </c>
      <c r="Q1" t="s">
        <v>15</v>
      </c>
      <c r="R1" t="s">
        <v>55</v>
      </c>
      <c r="S1" t="s">
        <v>32</v>
      </c>
      <c r="T1" t="s">
        <v>46</v>
      </c>
      <c r="U1" t="s">
        <v>54</v>
      </c>
      <c r="V1" t="s">
        <v>53</v>
      </c>
      <c r="X1" t="s">
        <v>45</v>
      </c>
      <c r="AB1" s="25" t="s">
        <v>40</v>
      </c>
      <c r="AE1" s="25" t="s">
        <v>41</v>
      </c>
      <c r="AF1" s="25" t="s">
        <v>40</v>
      </c>
      <c r="AI1" t="s">
        <v>49</v>
      </c>
      <c r="AJ1" t="s">
        <v>66</v>
      </c>
      <c r="AM1" s="33" t="s">
        <v>68</v>
      </c>
      <c r="AN1" t="s">
        <v>47</v>
      </c>
      <c r="AO1" t="s">
        <v>48</v>
      </c>
      <c r="AP1" s="26" t="s">
        <v>25</v>
      </c>
      <c r="AQ1" s="26" t="s">
        <v>26</v>
      </c>
      <c r="AR1" s="26" t="s">
        <v>27</v>
      </c>
      <c r="AS1" s="26" t="s">
        <v>28</v>
      </c>
      <c r="AU1" s="27"/>
      <c r="AW1" s="27"/>
      <c r="AX1" t="s">
        <v>18</v>
      </c>
      <c r="AZ1" t="s">
        <v>20</v>
      </c>
      <c r="BC1" t="str">
        <f>IF(A2="NL","Je huidige inkomen","Votre revenu actuel")</f>
        <v>Votre revenu actuel</v>
      </c>
      <c r="BD1" t="str">
        <f>IF(A2="NL","Je inkomen na pensioen (2)","Votre revenu de retraite (2)")</f>
        <v>Votre revenu de retraite (2)</v>
      </c>
    </row>
    <row r="2" spans="1:56" x14ac:dyDescent="0.3">
      <c r="A2" t="str">
        <f>pensioen!N3</f>
        <v>FR</v>
      </c>
      <c r="B2" t="s">
        <v>5</v>
      </c>
      <c r="C2" t="s">
        <v>6</v>
      </c>
      <c r="D2" t="s">
        <v>9</v>
      </c>
      <c r="F2" t="s">
        <v>5</v>
      </c>
      <c r="G2" t="s">
        <v>6</v>
      </c>
      <c r="H2" t="s">
        <v>9</v>
      </c>
      <c r="J2" t="s">
        <v>5</v>
      </c>
      <c r="K2" t="s">
        <v>6</v>
      </c>
      <c r="L2" t="s">
        <v>9</v>
      </c>
      <c r="N2">
        <v>60</v>
      </c>
      <c r="O2" s="18">
        <f ca="1">DATEDIF(pensioen!B22,parameters!C4,"y")+DATEDIF(pensioen!B22,parameters!C4,"ym")/12</f>
        <v>39.416666666666664</v>
      </c>
      <c r="P2" s="41">
        <v>43525</v>
      </c>
      <c r="Q2" s="2">
        <f>17347.58/0.25</f>
        <v>69390.320000000007</v>
      </c>
      <c r="R2" s="2">
        <v>14942.76</v>
      </c>
      <c r="S2" s="2">
        <v>3256.87</v>
      </c>
      <c r="T2" s="2">
        <v>980</v>
      </c>
      <c r="U2" s="2">
        <f>(0.15-0.06)*1960</f>
        <v>176.4</v>
      </c>
      <c r="V2" s="2">
        <v>2350</v>
      </c>
      <c r="X2" t="s">
        <v>33</v>
      </c>
      <c r="Y2" s="2">
        <v>0</v>
      </c>
      <c r="Z2" s="2"/>
      <c r="AC2" t="s">
        <v>38</v>
      </c>
      <c r="AD2" t="s">
        <v>39</v>
      </c>
      <c r="AE2" s="22">
        <f>pensioen!J28</f>
        <v>36000</v>
      </c>
      <c r="AF2" s="21">
        <f>VLOOKUP(AE2,AB3:AD11,2)</f>
        <v>0.39721987336811937</v>
      </c>
      <c r="AH2" t="s">
        <v>50</v>
      </c>
      <c r="AI2">
        <f>pensioen!J22</f>
        <v>45000</v>
      </c>
      <c r="AJ2">
        <f>AVERAGE(pensioen!J24:K28)</f>
        <v>36000</v>
      </c>
      <c r="AM2" t="s">
        <v>22</v>
      </c>
      <c r="AN2" s="21">
        <v>5.0000000000000001E-3</v>
      </c>
      <c r="AO2" s="21">
        <v>0</v>
      </c>
      <c r="AP2" s="19">
        <f>MIN(pensioen!J28*Y20*0.0817,data!S2)</f>
        <v>3127.5736439183997</v>
      </c>
      <c r="AQ2" s="19">
        <f>AP2*AF2+AP2*AF3</f>
        <v>1789.7742879081784</v>
      </c>
      <c r="AR2" s="19">
        <f ca="1">FV(0,pensioen!$F$28-data!$O$2,-AP2/(1+AO2)*(1-AN2-parameters!$C$12),,1)</f>
        <v>84112.183686130462</v>
      </c>
      <c r="AS2" s="19">
        <f ca="1">AR2*(1-IF((AR2)&gt;24789.35,2%+3.55%,IF(AR2&gt;2478.95,1%+3.55%,0%+3.55%)))*(1-IF(pensioen!F28&lt;65,0.165*(1+data!Y16),0.1*(1+data!Y16)))</f>
        <v>70943.454039954348</v>
      </c>
      <c r="AX2" s="5">
        <f>parameters!C8</f>
        <v>0.03</v>
      </c>
      <c r="AZ2" s="5">
        <f>parameters!C10</f>
        <v>0.02</v>
      </c>
      <c r="BB2" t="str">
        <f>pensioen!$B$33</f>
        <v>Votre revenu mensuel actuel</v>
      </c>
      <c r="BC2" s="16">
        <f>pensioen!B35</f>
        <v>3750</v>
      </c>
      <c r="BD2" s="16">
        <v>0</v>
      </c>
    </row>
    <row r="3" spans="1:56" x14ac:dyDescent="0.3">
      <c r="B3" t="s">
        <v>2</v>
      </c>
      <c r="C3" t="s">
        <v>7</v>
      </c>
      <c r="D3" t="str">
        <f>IF($A$2="NL",B3,C3)</f>
        <v>Indépendant sans société</v>
      </c>
      <c r="F3" t="s">
        <v>13</v>
      </c>
      <c r="G3" t="s">
        <v>14</v>
      </c>
      <c r="H3" t="str">
        <f>IF($A$2="NL",F3,G3)</f>
        <v>Marié/Cohabitant</v>
      </c>
      <c r="J3" t="s">
        <v>72</v>
      </c>
      <c r="K3" t="s">
        <v>79</v>
      </c>
      <c r="L3" t="str">
        <f>IF($A$2="NL",J3,K3)</f>
        <v>Cette simulation n'est qu'une pure estimation de votre capital pension et elle ne lie en aucun cas les partis, n'est pas valable en tant qu'offre et présume que les capitaux soient attribués au plus tôt à l'âge légal de la pension au bénéficiaire qui est resté 'effectivement actif' jusqu'à cet âge. Les montants réellement assurés peuvent dériver de cette simulation.</v>
      </c>
      <c r="N3">
        <v>65</v>
      </c>
      <c r="Y3" s="2">
        <v>13847.39</v>
      </c>
      <c r="Z3" s="40">
        <v>0.20499999999999999</v>
      </c>
      <c r="AB3">
        <v>0</v>
      </c>
      <c r="AC3" s="21">
        <v>0</v>
      </c>
      <c r="AD3" s="21">
        <v>0</v>
      </c>
      <c r="AF3" s="21">
        <f>VLOOKUP(AE2,AB3:AD11,3)</f>
        <v>0.17503660775053106</v>
      </c>
      <c r="AH3" t="s">
        <v>51</v>
      </c>
      <c r="AI3">
        <f>0.8*AI2</f>
        <v>36000</v>
      </c>
      <c r="AJ3">
        <f>0.8*AJ2</f>
        <v>28800</v>
      </c>
      <c r="AM3" t="s">
        <v>42</v>
      </c>
      <c r="AN3" s="21">
        <v>2.5000000000000001E-3</v>
      </c>
      <c r="AO3" s="21">
        <v>4.3999999999999997E-2</v>
      </c>
      <c r="AP3" s="19">
        <f ca="1">AI14/(1-AN3-parameters!C12)*(1+AO3)</f>
        <v>10939.408792063854</v>
      </c>
      <c r="AQ3" s="19">
        <f ca="1">AP3*0.2958</f>
        <v>3235.877120692488</v>
      </c>
      <c r="AR3" s="19">
        <f ca="1">FV(parameters!$C$8,pensioen!$F$28-data!$O$2,-AP3/(1+AO3)*(1-AN3-parameters!$C$12),,1)</f>
        <v>443067.34740101924</v>
      </c>
      <c r="AS3" s="19">
        <f ca="1">AR3*(1-IF((AR3)&gt;24789.35,2%+3.55%,IF(AR3&gt;2478.95,1%+3.55%,0%+3.55%)))*(1-IF(pensioen!F28&lt;65,0.165*(1+data!Y16),0.1*(1+data!Y16)))</f>
        <v>373700.05889089458</v>
      </c>
      <c r="AX3" t="s">
        <v>19</v>
      </c>
      <c r="AZ3" t="s">
        <v>21</v>
      </c>
      <c r="BB3" t="str">
        <f>pensioen!$E$33</f>
        <v>Estimation de votre pension légale (1)</v>
      </c>
      <c r="BC3" s="16">
        <v>0</v>
      </c>
      <c r="BD3" s="16">
        <f>pensioen!E35</f>
        <v>1189.8864444444444</v>
      </c>
    </row>
    <row r="4" spans="1:56" x14ac:dyDescent="0.3">
      <c r="B4" t="s">
        <v>3</v>
      </c>
      <c r="C4" t="s">
        <v>8</v>
      </c>
      <c r="D4" t="str">
        <f>IF($A$2="NL",B4,C4)</f>
        <v>Indépendant dans société</v>
      </c>
      <c r="F4" t="s">
        <v>11</v>
      </c>
      <c r="G4" t="s">
        <v>12</v>
      </c>
      <c r="H4" t="str">
        <f>IF($A$2="NL",F4,G4)</f>
        <v>Isolé</v>
      </c>
      <c r="J4" t="s">
        <v>70</v>
      </c>
      <c r="K4" t="s">
        <v>74</v>
      </c>
      <c r="L4" t="str">
        <f>IF($A$2="NL",J4,K4)</f>
        <v xml:space="preserve">Le présent document n'est pas un document contractuel. Par conséquent, ni le destinataire, ni le lecteur ne peut en tirer un quelconque droit ou avantage. Ces informations sont données à titre informatif. Bien que NN Insurance Belgium détienne ces informations de sources fiables et de qualité, elle ne garantit pas l'exactitude de ces informations. NN Insurance Belgium ne peut être tenue responsable d'un quelconque dommage (direct ou indirect) qui pourrait résulter de l'utilisation de ces informations. </v>
      </c>
      <c r="N4">
        <v>67</v>
      </c>
      <c r="Y4" s="2">
        <v>59795.61</v>
      </c>
      <c r="Z4" s="40">
        <v>0.1416</v>
      </c>
      <c r="AB4" s="22">
        <f>Y15</f>
        <v>8860</v>
      </c>
      <c r="AC4" s="21">
        <f>Z9+(Z9*Y16)</f>
        <v>0.26750000000000002</v>
      </c>
      <c r="AD4" s="21">
        <v>0</v>
      </c>
      <c r="AH4" t="s">
        <v>52</v>
      </c>
      <c r="AI4">
        <f>MAX(0.25*MIN(AI2,Q2),R2)</f>
        <v>14942.76</v>
      </c>
      <c r="AJ4">
        <f>MAX(0.25*MIN(AJ2,Q2),R2)</f>
        <v>14942.76</v>
      </c>
      <c r="AM4" t="s">
        <v>43</v>
      </c>
      <c r="AN4" s="21">
        <v>2.5000000000000001E-3</v>
      </c>
      <c r="AO4" s="21">
        <v>4.3999999999999997E-2</v>
      </c>
      <c r="AP4" s="19">
        <f ca="1">AJ14/(1-AN4-parameters!C12)*(1+AO4)</f>
        <v>7198.9497716575834</v>
      </c>
      <c r="AQ4" s="19">
        <f ca="1">0.3*AP4*(1+Y16)</f>
        <v>2310.8628767020846</v>
      </c>
      <c r="AR4" s="19">
        <f ca="1">FV(parameters!$C$8,pensioen!$F$28-data!$O$2,-AP4/(1+AO4)*(1-AN4-parameters!$C$12),,1)</f>
        <v>291571.47703589359</v>
      </c>
      <c r="AS4" s="19">
        <f ca="1">AR4*(1-IF((AR4)&gt;24789.35,2%+3.55%,IF(AR4&gt;2478.95,1%+3.55%,0%+3.55%)))*(1-0.1*(1+data!Y16))</f>
        <v>245922.60923393857</v>
      </c>
      <c r="AX4">
        <f>(1+AX2)^(1/12)-1</f>
        <v>2.4662697723036864E-3</v>
      </c>
      <c r="AZ4">
        <f t="shared" ref="AZ4" si="0">(1+AZ2)^(1/12)-1</f>
        <v>1.6515813019202241E-3</v>
      </c>
      <c r="BB4" t="str">
        <f>pensioen!B43</f>
        <v>1. PLCI</v>
      </c>
      <c r="BC4" s="16">
        <v>0</v>
      </c>
      <c r="BD4" s="16">
        <f ca="1">pensioen!L43</f>
        <v>287.07485095790884</v>
      </c>
    </row>
    <row r="5" spans="1:56" x14ac:dyDescent="0.3">
      <c r="J5" t="s">
        <v>71</v>
      </c>
      <c r="K5" t="s">
        <v>75</v>
      </c>
      <c r="L5" t="str">
        <f>IF($A$2="NL",J5,K5)</f>
        <v>NN Insurance Belgium SA, prêteur en crédit hypothécaire agréé par la FSMA et entreprise d’assurances agréée par la BNB sous le numéro 2550 pour les Branches 1a, 2, 21, 22, 23, 25, 26. Siège social : Avenue Fonsny 38, B-1060 Bruxelles - RPM Bruxelles - TVA BE 0890.270.057 - BIC : BBRUBEBB - IBAN : BE28 3100 7627 4220.</v>
      </c>
      <c r="N5">
        <v>70</v>
      </c>
      <c r="Y5" s="2">
        <v>88119.8</v>
      </c>
      <c r="Z5" s="40">
        <v>0</v>
      </c>
      <c r="AB5" s="22">
        <f>Y10</f>
        <v>13250</v>
      </c>
      <c r="AC5" s="21">
        <f>Z10+(Z10*Y16)</f>
        <v>0.42800000000000005</v>
      </c>
      <c r="AD5" s="21">
        <v>0</v>
      </c>
      <c r="AF5" s="23"/>
      <c r="AH5" t="s">
        <v>56</v>
      </c>
      <c r="AI5">
        <f>MAX(AI3-AI4,0)</f>
        <v>21057.239999999998</v>
      </c>
      <c r="AJ5">
        <f>MAX(AJ3-AJ4,0)</f>
        <v>13857.24</v>
      </c>
      <c r="AM5" t="s">
        <v>44</v>
      </c>
      <c r="AN5" s="21">
        <v>5.0000000000000001E-3</v>
      </c>
      <c r="AO5" s="21">
        <v>0</v>
      </c>
      <c r="AP5" s="19">
        <f>T2</f>
        <v>980</v>
      </c>
      <c r="AQ5" s="19">
        <f>0.3*AP5*(1+Y16)</f>
        <v>314.58000000000004</v>
      </c>
      <c r="AR5" s="19">
        <f ca="1">FV(parameters!$C$8,pensioen!$F$28-data!$O$2,-AP5/(1+AO5)*(1-AN5-parameters!$C$12),,1)</f>
        <v>41332.370855790912</v>
      </c>
      <c r="AS5" s="19">
        <f ca="1">AR5-FV(parameters!$C$8,IF(O2&gt;=55,10,60-data!$O$2),-AP5/(1+AO5)*(1-AN5-parameters!$C$12),,1)*0.08*(1+Y16)</f>
        <v>38980.478887451129</v>
      </c>
      <c r="BB5" t="str">
        <f>pensioen!B45</f>
        <v>2. EIP</v>
      </c>
      <c r="BC5" s="16">
        <v>0</v>
      </c>
      <c r="BD5" s="16">
        <f ca="1">pensioen!L45</f>
        <v>1512.1886883129037</v>
      </c>
    </row>
    <row r="6" spans="1:56" x14ac:dyDescent="0.3">
      <c r="J6" t="s">
        <v>76</v>
      </c>
      <c r="K6" t="s">
        <v>78</v>
      </c>
      <c r="L6" t="str">
        <f>IF($A$2="NL",J6,K6)</f>
        <v>Le plan de pension idéal optimise non seulement votre avantage fiscal, mais également votre rendement financier. Ne cherchez pas aveuglément les rendements garantis qui ne dépassent même pas le taux d'inflation. Investissez selon votre profil et horizon de placement. Votre courtier vous donnera le meilleur conseil de placement.</v>
      </c>
      <c r="Y6" s="2"/>
      <c r="Z6" s="20"/>
      <c r="AB6" s="22">
        <f>Y11</f>
        <v>13250</v>
      </c>
      <c r="AC6" s="21">
        <f>Z11+(Z11*Y16)</f>
        <v>0.42800000000000005</v>
      </c>
      <c r="AD6" s="21">
        <v>0</v>
      </c>
      <c r="AF6" s="22"/>
      <c r="AH6" t="s">
        <v>57</v>
      </c>
      <c r="AI6">
        <f>pensioen!F28-(DATEDIF(pensioen!B22,pensioen!F22,"y")+DATEDIF(pensioen!B22,pensioen!F22,"ym")/12)</f>
        <v>37</v>
      </c>
      <c r="AJ6">
        <f>AI6</f>
        <v>37</v>
      </c>
      <c r="AM6" t="s">
        <v>23</v>
      </c>
      <c r="AN6" s="21">
        <v>5.0000000000000001E-3</v>
      </c>
      <c r="AO6" s="21">
        <v>0.02</v>
      </c>
      <c r="AP6" s="19">
        <f>MIN(U2+0.06*pensioen!J22,V2)</f>
        <v>2350</v>
      </c>
      <c r="AQ6" s="19">
        <f>0.3*AP6*(1+Y16)</f>
        <v>754.35</v>
      </c>
      <c r="AR6" s="19">
        <f ca="1">FV(parameters!$C$8,pensioen!$F$28-data!$O$2,-AP6/(1+AO6)*(1-AN6-parameters!$C$12),,1)</f>
        <v>97169.939486903415</v>
      </c>
      <c r="AS6" s="19">
        <f ca="1">AR6-FV(parameters!$C$8,IF(O2&gt;=55,10,60-data!$O$2),-AP6/(1+AO6)*(1-AN6-parameters!$C$12),,1)*0.1*(1+Y16)</f>
        <v>90258.492251010932</v>
      </c>
      <c r="BB6" t="str">
        <f>pensioen!B47</f>
        <v>3. Epargne pension</v>
      </c>
      <c r="BC6" s="16">
        <v>0</v>
      </c>
      <c r="BD6" s="16">
        <f ca="1">pensioen!L47</f>
        <v>157.73569694789202</v>
      </c>
    </row>
    <row r="7" spans="1:56" x14ac:dyDescent="0.3">
      <c r="Y7" s="2"/>
      <c r="Z7" s="20"/>
      <c r="AB7" s="23">
        <f>Y3</f>
        <v>13847.39</v>
      </c>
      <c r="AC7" s="21">
        <f>(Z11+(Z11*Y16))*(1-(Z3*(1+$Y$18)/(1+Z3*(1+$Y$18))))</f>
        <v>0.35308433188277277</v>
      </c>
      <c r="AD7" s="21">
        <f>Z3*(1+$Y$18)*(1-(Z3*(1+$Y$18)/(1+Z3*(1+$Y$18))))</f>
        <v>0.17503660775053106</v>
      </c>
      <c r="AF7" s="22"/>
      <c r="AH7" t="s">
        <v>58</v>
      </c>
      <c r="AI7">
        <f>DATEDIF(pensioen!F25,pensioen!F22,"y")+DATEDIF(pensioen!F25,pensioen!F22,"ym")/12</f>
        <v>6</v>
      </c>
      <c r="AJ7">
        <f t="shared" ref="AJ7:AJ9" si="1">AI7</f>
        <v>6</v>
      </c>
      <c r="AM7" t="s">
        <v>24</v>
      </c>
      <c r="AN7" s="21">
        <v>5.0000000000000001E-3</v>
      </c>
      <c r="AO7" s="21">
        <v>0.02</v>
      </c>
      <c r="AP7" s="19">
        <f ca="1">AP14</f>
        <v>1421.7135236381775</v>
      </c>
      <c r="AQ7" s="19">
        <v>0</v>
      </c>
      <c r="AR7" s="19">
        <f ca="1">FV(parameters!$C$8,pensioen!$F$28-data!$O$2,-AP7/(1+AO7)*(1-AN7-parameters!$C$12),,1)</f>
        <v>58786.305131759123</v>
      </c>
      <c r="AS7" s="19">
        <f ca="1">AR7</f>
        <v>58786.305131759123</v>
      </c>
      <c r="BB7" t="str">
        <f>pensioen!B49</f>
        <v>4. Epargne long terme</v>
      </c>
      <c r="BC7" s="16">
        <v>0</v>
      </c>
      <c r="BD7" s="16">
        <f ca="1">pensioen!L49</f>
        <v>365.23374229920995</v>
      </c>
    </row>
    <row r="8" spans="1:56" x14ac:dyDescent="0.3">
      <c r="X8" t="s">
        <v>34</v>
      </c>
      <c r="Y8" s="2"/>
      <c r="Z8" s="20"/>
      <c r="AB8" s="24">
        <f>Y12</f>
        <v>23390</v>
      </c>
      <c r="AC8" s="21">
        <f>(Z12+(Z12*Y16))*(1-(Z3*(1+$Y$18)/(1+Z3*(1+$Y$18))))</f>
        <v>0.39721987336811937</v>
      </c>
      <c r="AD8" s="21">
        <f>Z3*(1+$Y$18)*(1-(Z3*(1+$Y$18)/(1+Z3*(1+$Y$18))))</f>
        <v>0.17503660775053106</v>
      </c>
      <c r="AF8" s="22"/>
      <c r="AH8" t="s">
        <v>67</v>
      </c>
      <c r="AI8">
        <f>MIN(DATEDIF(pensioen!F25,pensioen!F22,"y")+DATEDIF(pensioen!F25,pensioen!F22,"ym")/12,10)</f>
        <v>6</v>
      </c>
      <c r="AJ8">
        <f t="shared" si="1"/>
        <v>6</v>
      </c>
      <c r="AP8" s="19"/>
      <c r="AQ8" s="19"/>
      <c r="AR8" s="19"/>
      <c r="AS8" s="19"/>
      <c r="BB8" t="str">
        <f>pensioen!B51</f>
        <v>5. Epargne libre</v>
      </c>
      <c r="BC8" s="16">
        <v>0</v>
      </c>
      <c r="BD8" s="16">
        <f ca="1">pensioen!L51</f>
        <v>237.88057703761521</v>
      </c>
    </row>
    <row r="9" spans="1:56" x14ac:dyDescent="0.3">
      <c r="Y9" s="2">
        <v>0</v>
      </c>
      <c r="Z9" s="20">
        <v>0.25</v>
      </c>
      <c r="AB9" s="24">
        <f>Y13</f>
        <v>40480</v>
      </c>
      <c r="AC9" s="21">
        <f>(Z13+(Z13*Y16))*(1-(Z3*(1+$Y$18)/(1+Z3*(1+$Y$18))))</f>
        <v>0.44135541485346597</v>
      </c>
      <c r="AD9" s="21">
        <f>Z3*(1+$Y$18)*(1-(Z3*(1+$Y$18)/(1+Z3*(1+$Y$18))))</f>
        <v>0.17503660775053106</v>
      </c>
      <c r="AF9" s="23"/>
      <c r="AH9" t="s">
        <v>59</v>
      </c>
      <c r="AI9">
        <f>MIN(AI6+AI8,40)</f>
        <v>40</v>
      </c>
      <c r="AJ9">
        <f t="shared" si="1"/>
        <v>40</v>
      </c>
      <c r="AM9" s="33" t="s">
        <v>69</v>
      </c>
      <c r="AN9" t="s">
        <v>47</v>
      </c>
      <c r="AO9" t="s">
        <v>48</v>
      </c>
      <c r="AP9" s="26" t="s">
        <v>25</v>
      </c>
      <c r="AQ9" s="26" t="s">
        <v>26</v>
      </c>
      <c r="AR9" s="26" t="s">
        <v>27</v>
      </c>
      <c r="AS9" s="26" t="s">
        <v>28</v>
      </c>
    </row>
    <row r="10" spans="1:56" x14ac:dyDescent="0.3">
      <c r="Y10" s="2">
        <v>13250</v>
      </c>
      <c r="Z10" s="20">
        <v>0.4</v>
      </c>
      <c r="AB10" s="23">
        <f>Y4</f>
        <v>59795.61</v>
      </c>
      <c r="AC10" s="21">
        <f>(Z13+(Z13*Y16))*(1-(Z4*(1+$Y$18)/(1+Z4*(1+$Y$18))))</f>
        <v>0.46661480119592935</v>
      </c>
      <c r="AD10" s="21">
        <f>Z4*(1+$Y$18)*(1-(Z4*(1+$Y$18)/(1+Z4*(1+$Y$18))))</f>
        <v>0.12782280150293573</v>
      </c>
      <c r="AF10" s="23"/>
      <c r="AH10" t="s">
        <v>60</v>
      </c>
      <c r="AI10">
        <f>AI5*AI9/40</f>
        <v>21057.239999999998</v>
      </c>
      <c r="AJ10">
        <f>AJ5*AJ9/40</f>
        <v>13857.24</v>
      </c>
      <c r="AM10" t="str">
        <f>AM2</f>
        <v>VAPZ</v>
      </c>
      <c r="AP10" s="19">
        <f ca="1">PMT(0,pensioen!$F$28-data!$O$2,,-AR10,1)/(1-AN2-parameters!$C$12)*(1+AO2)</f>
        <v>3127.5736439183988</v>
      </c>
      <c r="AQ10" s="19">
        <f ca="1">AP10*AF2+AP10*AF3</f>
        <v>1789.7742879081779</v>
      </c>
      <c r="AR10" s="19">
        <f ca="1">AS10/(1-IF((AS10)&gt;24789.35*0.98,2%+3.55%,IF(AS10&gt;2478.95*0.99,1%+3.55%,0%+3.55%)))/(1-IF(pensioen!F28&lt;65,0.165*(1+data!Y16),0.1*(1+data!Y16)))</f>
        <v>84112.183686130447</v>
      </c>
      <c r="AS10" s="19">
        <f ca="1">IF(AS2&gt;pensioen!H37,pensioen!H37,data!AS2)</f>
        <v>70943.454039954348</v>
      </c>
      <c r="AT10" s="21">
        <f ca="1">RATE(pensioen!$F$28-data!$O$2,-(AP10-AQ10),,AS10,1)</f>
        <v>4.2780848704947569E-2</v>
      </c>
    </row>
    <row r="11" spans="1:56" x14ac:dyDescent="0.3">
      <c r="Y11" s="2">
        <v>13250</v>
      </c>
      <c r="Z11" s="20">
        <v>0.4</v>
      </c>
      <c r="AB11" s="23">
        <f>Y5</f>
        <v>88119.8</v>
      </c>
      <c r="AC11" s="21">
        <f>(Z13+(Z13*Y16))*(1-(Z5*(1+$Y$18)/(1+Z5*(1+$Y$18))))</f>
        <v>0.53500000000000003</v>
      </c>
      <c r="AD11" s="21">
        <v>0</v>
      </c>
      <c r="AH11" t="s">
        <v>61</v>
      </c>
      <c r="AI11">
        <f>AI10/1.2</f>
        <v>17547.7</v>
      </c>
      <c r="AJ11">
        <f>AJ10/1.2</f>
        <v>11547.7</v>
      </c>
      <c r="AM11" t="str">
        <f>IF(pensioen!B28=D3,AM5,AM3)</f>
        <v>IPT</v>
      </c>
      <c r="AP11" s="19">
        <f ca="1">PMT(parameters!$C$8,pensioen!$F$28-data!$O$2,,-AR11,1)/(1-VLOOKUP(AM11,AM2:AS7,2,FALSE)-parameters!$C$12)*(1+VLOOKUP(AM11,AM2:AS7,3,FALSE))</f>
        <v>10939.408792063867</v>
      </c>
      <c r="AQ11" s="19">
        <f ca="1">IF(AP11=0,0,IF(AM11=AM5,AP11*AQ5/AP5,AP11*AQ3/AP3))</f>
        <v>3235.8771206924921</v>
      </c>
      <c r="AR11" s="19">
        <f ca="1">IF(AM11=AM5,AS11/(AS5/AR5),AS11/(1-IF((AS11)&gt;24789.35*0.98,2%+3.55%,IF(AS11&gt;2478.95*0.99,1%+3.55%,0%+3.55%)))/(1-IF(pensioen!F28&lt;65,0.165*(1+data!Y16),0.1*(1+data!Y16))))</f>
        <v>443067.34740101924</v>
      </c>
      <c r="AS11" s="19">
        <f ca="1">IF(VLOOKUP(data!AM11,data!AM2:AS7,7,FALSE)&gt;(pensioen!H37-data!AS10),pensioen!H37-data!AS10,VLOOKUP(data!AM11,data!AM2:AS7,7,FALSE))</f>
        <v>373700.05889089458</v>
      </c>
      <c r="AT11" s="21">
        <f ca="1">RATE(pensioen!$F$28-data!$O$2,-(AP11-AQ11),,AS11,1)</f>
        <v>3.7242491897806193E-2</v>
      </c>
    </row>
    <row r="12" spans="1:56" x14ac:dyDescent="0.3">
      <c r="Y12" s="2">
        <v>23390</v>
      </c>
      <c r="Z12" s="20">
        <v>0.45</v>
      </c>
      <c r="AH12" t="s">
        <v>62</v>
      </c>
      <c r="AI12">
        <f>IF(pensioen!F28=60,IF(pensioen!B25=data!H3,18.3749,15.6389),IF(pensioen!B25=data!H3,16.1004,13.4282))</f>
        <v>16.1004</v>
      </c>
      <c r="AJ12">
        <f>AI12</f>
        <v>16.1004</v>
      </c>
      <c r="AM12" t="str">
        <f>IF(pensioen!B28=data!D3,AM6,AM5)</f>
        <v>Pensioensparen</v>
      </c>
      <c r="AP12" s="19">
        <f ca="1">PMT(parameters!$C$8,pensioen!$F$28-data!$O$2,,-AR12,1)/(1-VLOOKUP(AM12,AM2:AS7,2,FALSE)-parameters!$C$12)*(1+VLOOKUP(AM12,AM2:AS7,3,FALSE))</f>
        <v>980.00000000000114</v>
      </c>
      <c r="AQ12" s="19">
        <f ca="1">IF(AM12=AM6,AP12*AQ6/AP6,AP12*AQ5/AP5)</f>
        <v>314.58000000000038</v>
      </c>
      <c r="AR12" s="19">
        <f ca="1">IF(AM12=AM6,AS12/(AS6/AR6),AS12/(AS5/AR5))</f>
        <v>41332.370855790912</v>
      </c>
      <c r="AS12" s="19">
        <f ca="1">IF(VLOOKUP(data!AM12,data!AM2:AS7,7,FALSE)&gt;(pensioen!H37-data!AS10-AS11),pensioen!H37-data!AS10-AS11,VLOOKUP(data!AM12,data!AM2:AS7,7,FALSE))</f>
        <v>38980.478887451129</v>
      </c>
      <c r="AT12" s="21">
        <f ca="1">RATE(pensioen!$F$28-data!$O$2,-(AP12-AQ12),,AS12,1)</f>
        <v>4.8883393356545138E-2</v>
      </c>
    </row>
    <row r="13" spans="1:56" x14ac:dyDescent="0.3">
      <c r="Y13" s="2">
        <v>40480</v>
      </c>
      <c r="Z13" s="20">
        <v>0.5</v>
      </c>
      <c r="AH13" t="s">
        <v>63</v>
      </c>
      <c r="AI13">
        <f>AI11*AI12</f>
        <v>282524.98908000003</v>
      </c>
      <c r="AJ13">
        <f>AJ11*AJ12</f>
        <v>185922.58908000001</v>
      </c>
      <c r="AM13" t="str">
        <f>IF(pensioen!B28=data!D3,AM4,AM6)</f>
        <v>Langetermijnsparen</v>
      </c>
      <c r="AP13" s="19">
        <f ca="1">PMT(parameters!$C$8,pensioen!$F$28-data!$O$2,,-AR13,1)/(1-VLOOKUP(AM13,AM2:AS7,2,FALSE)-parameters!$C$12)*(1+VLOOKUP(AM13,AM2:AS7,3,FALSE))</f>
        <v>2350.0000000000032</v>
      </c>
      <c r="AQ13" s="19">
        <f ca="1">IF(AP13=0,0,IF(AM13=AM4,AP13*AQ6/AP6,AP13*AQ4/AP4))</f>
        <v>754.35000000000116</v>
      </c>
      <c r="AR13" s="19">
        <f ca="1">IF(AM13=AM6,AS13/(AS6/AR6),AS13/(1-IF((AS13)&gt;24789.35*0.98,2%+3.55%,IF(AS13&gt;2478.95*0.99,1%+3.55%,0%+3.55%)))/(1-0.1*(1+data!Y16)))</f>
        <v>97169.939486903415</v>
      </c>
      <c r="AS13" s="19">
        <f ca="1">IF(VLOOKUP(data!AM13,data!AM2:AS7,7,FALSE)&gt;(pensioen!H37-data!AS10-AS11-AS12),pensioen!H37-data!AS10-AS11-AS12,VLOOKUP(data!AM13,data!AM2:AS7,7,FALSE))</f>
        <v>90258.492251010932</v>
      </c>
      <c r="AT13" s="21">
        <f ca="1">RATE(pensioen!$F$28-data!$O$2,-(AP13-AQ13),,AS13,1)</f>
        <v>4.6747442952832736E-2</v>
      </c>
    </row>
    <row r="14" spans="1:56" x14ac:dyDescent="0.3">
      <c r="Y14" s="2"/>
      <c r="Z14" s="20"/>
      <c r="AH14" t="s">
        <v>64</v>
      </c>
      <c r="AI14" s="19">
        <f ca="1">PMT(0,pensioen!F28-data!O2,,-AI13,1)</f>
        <v>10242.597791419939</v>
      </c>
      <c r="AJ14" s="19">
        <f ca="1">PMT(0,pensioen!F28-data!O2,,-AJ13,1)</f>
        <v>6740.3959787311178</v>
      </c>
      <c r="AM14" t="str">
        <f>AM7</f>
        <v>Vrij sparen</v>
      </c>
      <c r="AP14" s="19">
        <f ca="1">PMT(parameters!$C$8,pensioen!$F$28-data!$O$2,,-AR14,1)/(1-VLOOKUP(AM14,AM2:AS7,2,FALSE)-parameters!$C$12)*(1+VLOOKUP(AM14,AM2:AS7,3,FALSE))</f>
        <v>1421.7135236381775</v>
      </c>
      <c r="AQ14" s="19">
        <v>0</v>
      </c>
      <c r="AR14" s="19">
        <f ca="1">AS14</f>
        <v>58786.305131759029</v>
      </c>
      <c r="AS14" s="19">
        <f ca="1">MAX(pensioen!H37-SUM(data!AS10:AS13),0)</f>
        <v>58786.305131759029</v>
      </c>
      <c r="AT14" s="21">
        <f ca="1">RATE(pensioen!$F$28-data!$O$2,-(AP14-AQ14),,AS14,1)</f>
        <v>2.7109679752262757E-2</v>
      </c>
    </row>
    <row r="15" spans="1:56" x14ac:dyDescent="0.3">
      <c r="X15" t="s">
        <v>35</v>
      </c>
      <c r="Y15" s="2">
        <v>8860</v>
      </c>
      <c r="Z15" s="20"/>
      <c r="AH15" s="30"/>
      <c r="AI15" s="30"/>
      <c r="AJ15" s="30"/>
    </row>
    <row r="16" spans="1:56" x14ac:dyDescent="0.3">
      <c r="X16" t="s">
        <v>36</v>
      </c>
      <c r="Y16" s="20">
        <v>7.0000000000000007E-2</v>
      </c>
      <c r="Z16" s="20"/>
      <c r="AF16" s="28"/>
      <c r="AG16" s="28"/>
      <c r="AH16" s="28"/>
      <c r="AI16" s="28"/>
      <c r="AJ16" s="28"/>
      <c r="AK16" s="28"/>
      <c r="AL16" s="28"/>
      <c r="AM16" s="29"/>
      <c r="AN16" s="29"/>
      <c r="AO16" s="28"/>
      <c r="AQ16" s="19"/>
    </row>
    <row r="17" spans="24:43" x14ac:dyDescent="0.3">
      <c r="Y17" s="20"/>
      <c r="Z17" s="20"/>
      <c r="AF17" s="28"/>
      <c r="AG17" s="28"/>
      <c r="AH17" s="28"/>
      <c r="AI17" s="28"/>
      <c r="AJ17" s="28"/>
      <c r="AK17" s="28"/>
      <c r="AL17" s="28"/>
      <c r="AM17" s="28"/>
      <c r="AN17" s="28"/>
      <c r="AO17" s="28"/>
      <c r="AQ17" s="19"/>
    </row>
    <row r="18" spans="24:43" x14ac:dyDescent="0.3">
      <c r="X18" t="s">
        <v>37</v>
      </c>
      <c r="Y18" s="20">
        <v>3.5000000000000003E-2</v>
      </c>
      <c r="Z18" s="20"/>
    </row>
    <row r="19" spans="24:43" x14ac:dyDescent="0.3">
      <c r="Y19" s="20"/>
      <c r="Z19" s="20"/>
    </row>
    <row r="20" spans="24:43" x14ac:dyDescent="0.3">
      <c r="X20" t="s">
        <v>65</v>
      </c>
      <c r="Y20" s="31">
        <v>1.0633665320000001</v>
      </c>
      <c r="Z20"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pensioen</vt:lpstr>
      <vt:lpstr>parameters</vt:lpstr>
      <vt:lpstr>data</vt:lpstr>
      <vt:lpstr>pensioen!Zone_d_impression</vt:lpstr>
    </vt:vector>
  </TitlesOfParts>
  <Company>DeltaLloyd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Veltjen Bart</dc:creator>
  <cp:lastModifiedBy>Myriam</cp:lastModifiedBy>
  <cp:lastPrinted>2019-03-06T16:36:38Z</cp:lastPrinted>
  <dcterms:created xsi:type="dcterms:W3CDTF">2018-08-24T15:34:42Z</dcterms:created>
  <dcterms:modified xsi:type="dcterms:W3CDTF">2019-06-20T15:29:11Z</dcterms:modified>
</cp:coreProperties>
</file>